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dsna-my.sharepoint.com/personal/karaliotas_edsna_gr/Documents/ΕΔΣΝΑ/τέλος ταφης/2023/Β εξάμηνο/"/>
    </mc:Choice>
  </mc:AlternateContent>
  <xr:revisionPtr revIDLastSave="0" documentId="13_ncr:1_{FA6A2FA5-87BB-4B84-A459-02A7D019E2B5}" xr6:coauthVersionLast="47" xr6:coauthVersionMax="47" xr10:uidLastSave="{00000000-0000-0000-0000-000000000000}"/>
  <bookViews>
    <workbookView xWindow="38280" yWindow="-120" windowWidth="29040" windowHeight="15720" activeTab="6" xr2:uid="{8DD21F29-A94B-41EC-B55D-A9BC1968A5B8}"/>
  </bookViews>
  <sheets>
    <sheet name="7" sheetId="1" r:id="rId1"/>
    <sheet name="8" sheetId="2" r:id="rId2"/>
    <sheet name="9" sheetId="3" r:id="rId3"/>
    <sheet name="10" sheetId="4" r:id="rId4"/>
    <sheet name="11" sheetId="5" r:id="rId5"/>
    <sheet name="12" sheetId="6" r:id="rId6"/>
    <sheet name="Σύνολο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72" i="7" l="1"/>
  <c r="T72" i="7"/>
  <c r="T5" i="7" l="1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4" i="7"/>
  <c r="P78" i="7" l="1"/>
  <c r="V69" i="7"/>
  <c r="P69" i="7"/>
  <c r="O69" i="7"/>
  <c r="Q69" i="7" s="1"/>
  <c r="V68" i="7"/>
  <c r="P68" i="7"/>
  <c r="O68" i="7"/>
  <c r="V67" i="7"/>
  <c r="P67" i="7"/>
  <c r="O67" i="7"/>
  <c r="V66" i="7"/>
  <c r="P66" i="7"/>
  <c r="O66" i="7"/>
  <c r="V65" i="7"/>
  <c r="P65" i="7"/>
  <c r="O65" i="7"/>
  <c r="V64" i="7"/>
  <c r="P64" i="7"/>
  <c r="O64" i="7"/>
  <c r="Q64" i="7" s="1"/>
  <c r="V63" i="7"/>
  <c r="P63" i="7"/>
  <c r="O63" i="7"/>
  <c r="V62" i="7"/>
  <c r="P62" i="7"/>
  <c r="O62" i="7"/>
  <c r="V61" i="7"/>
  <c r="P61" i="7"/>
  <c r="O61" i="7"/>
  <c r="Q61" i="7" s="1"/>
  <c r="V60" i="7"/>
  <c r="P60" i="7"/>
  <c r="O60" i="7"/>
  <c r="V59" i="7"/>
  <c r="P59" i="7"/>
  <c r="O59" i="7"/>
  <c r="V58" i="7"/>
  <c r="P58" i="7"/>
  <c r="O58" i="7"/>
  <c r="V57" i="7"/>
  <c r="P57" i="7"/>
  <c r="O57" i="7"/>
  <c r="V56" i="7"/>
  <c r="P56" i="7"/>
  <c r="O56" i="7"/>
  <c r="V55" i="7"/>
  <c r="P55" i="7"/>
  <c r="O55" i="7"/>
  <c r="V54" i="7"/>
  <c r="P54" i="7"/>
  <c r="O54" i="7"/>
  <c r="V53" i="7"/>
  <c r="P53" i="7"/>
  <c r="O53" i="7"/>
  <c r="Q53" i="7" s="1"/>
  <c r="V52" i="7"/>
  <c r="P52" i="7"/>
  <c r="O52" i="7"/>
  <c r="V51" i="7"/>
  <c r="P51" i="7"/>
  <c r="O51" i="7"/>
  <c r="V50" i="7"/>
  <c r="P50" i="7"/>
  <c r="O50" i="7"/>
  <c r="V49" i="7"/>
  <c r="P49" i="7"/>
  <c r="O49" i="7"/>
  <c r="Q49" i="7" s="1"/>
  <c r="V48" i="7"/>
  <c r="P48" i="7"/>
  <c r="O48" i="7"/>
  <c r="Q48" i="7" s="1"/>
  <c r="V47" i="7"/>
  <c r="P47" i="7"/>
  <c r="O47" i="7"/>
  <c r="V46" i="7"/>
  <c r="P46" i="7"/>
  <c r="O46" i="7"/>
  <c r="V45" i="7"/>
  <c r="P45" i="7"/>
  <c r="O45" i="7"/>
  <c r="Q45" i="7" s="1"/>
  <c r="V44" i="7"/>
  <c r="P44" i="7"/>
  <c r="O44" i="7"/>
  <c r="V43" i="7"/>
  <c r="P43" i="7"/>
  <c r="O43" i="7"/>
  <c r="V42" i="7"/>
  <c r="P42" i="7"/>
  <c r="O42" i="7"/>
  <c r="Q42" i="7" s="1"/>
  <c r="V41" i="7"/>
  <c r="P41" i="7"/>
  <c r="O41" i="7"/>
  <c r="V40" i="7"/>
  <c r="P40" i="7"/>
  <c r="O40" i="7"/>
  <c r="Q40" i="7" s="1"/>
  <c r="V39" i="7"/>
  <c r="P39" i="7"/>
  <c r="O39" i="7"/>
  <c r="V38" i="7"/>
  <c r="P38" i="7"/>
  <c r="O38" i="7"/>
  <c r="V37" i="7"/>
  <c r="P37" i="7"/>
  <c r="O37" i="7"/>
  <c r="V36" i="7"/>
  <c r="P36" i="7"/>
  <c r="O36" i="7"/>
  <c r="V35" i="7"/>
  <c r="P35" i="7"/>
  <c r="O35" i="7"/>
  <c r="V34" i="7"/>
  <c r="P34" i="7"/>
  <c r="O34" i="7"/>
  <c r="Q34" i="7" s="1"/>
  <c r="V33" i="7"/>
  <c r="P33" i="7"/>
  <c r="O33" i="7"/>
  <c r="V32" i="7"/>
  <c r="P32" i="7"/>
  <c r="O32" i="7"/>
  <c r="V31" i="7"/>
  <c r="P31" i="7"/>
  <c r="O31" i="7"/>
  <c r="V30" i="7"/>
  <c r="P30" i="7"/>
  <c r="O30" i="7"/>
  <c r="V29" i="7"/>
  <c r="P29" i="7"/>
  <c r="O29" i="7"/>
  <c r="Q29" i="7" s="1"/>
  <c r="V28" i="7"/>
  <c r="P28" i="7"/>
  <c r="O28" i="7"/>
  <c r="V27" i="7"/>
  <c r="P27" i="7"/>
  <c r="O27" i="7"/>
  <c r="V26" i="7"/>
  <c r="P26" i="7"/>
  <c r="O26" i="7"/>
  <c r="V25" i="7"/>
  <c r="P25" i="7"/>
  <c r="O25" i="7"/>
  <c r="V24" i="7"/>
  <c r="P24" i="7"/>
  <c r="O24" i="7"/>
  <c r="Q24" i="7" s="1"/>
  <c r="V23" i="7"/>
  <c r="P23" i="7"/>
  <c r="O23" i="7"/>
  <c r="V22" i="7"/>
  <c r="P22" i="7"/>
  <c r="O22" i="7"/>
  <c r="V21" i="7"/>
  <c r="P21" i="7"/>
  <c r="O21" i="7"/>
  <c r="Q21" i="7" s="1"/>
  <c r="V20" i="7"/>
  <c r="P20" i="7"/>
  <c r="O20" i="7"/>
  <c r="V19" i="7"/>
  <c r="P19" i="7"/>
  <c r="O19" i="7"/>
  <c r="V18" i="7"/>
  <c r="P18" i="7"/>
  <c r="O18" i="7"/>
  <c r="Q18" i="7" s="1"/>
  <c r="V17" i="7"/>
  <c r="P17" i="7"/>
  <c r="O17" i="7"/>
  <c r="Q17" i="7" s="1"/>
  <c r="V16" i="7"/>
  <c r="P16" i="7"/>
  <c r="O16" i="7"/>
  <c r="Q16" i="7" s="1"/>
  <c r="V15" i="7"/>
  <c r="P15" i="7"/>
  <c r="O15" i="7"/>
  <c r="V14" i="7"/>
  <c r="P14" i="7"/>
  <c r="O14" i="7"/>
  <c r="V13" i="7"/>
  <c r="P13" i="7"/>
  <c r="O13" i="7"/>
  <c r="Q13" i="7" s="1"/>
  <c r="V12" i="7"/>
  <c r="P12" i="7"/>
  <c r="O12" i="7"/>
  <c r="V11" i="7"/>
  <c r="P11" i="7"/>
  <c r="O11" i="7"/>
  <c r="Q11" i="7" s="1"/>
  <c r="V10" i="7"/>
  <c r="P10" i="7"/>
  <c r="O10" i="7"/>
  <c r="V9" i="7"/>
  <c r="P9" i="7"/>
  <c r="O9" i="7"/>
  <c r="V8" i="7"/>
  <c r="P8" i="7"/>
  <c r="O8" i="7"/>
  <c r="Q8" i="7" s="1"/>
  <c r="V7" i="7"/>
  <c r="P7" i="7"/>
  <c r="O7" i="7"/>
  <c r="Q7" i="7" s="1"/>
  <c r="V6" i="7"/>
  <c r="P6" i="7"/>
  <c r="O6" i="7"/>
  <c r="V5" i="7"/>
  <c r="P5" i="7"/>
  <c r="O5" i="7"/>
  <c r="V4" i="7"/>
  <c r="T70" i="7"/>
  <c r="U20" i="7" s="1"/>
  <c r="P4" i="7"/>
  <c r="O4" i="7"/>
  <c r="Q20" i="7" l="1"/>
  <c r="Q68" i="7"/>
  <c r="Q12" i="7"/>
  <c r="Q60" i="7"/>
  <c r="Q35" i="7"/>
  <c r="Q51" i="7"/>
  <c r="Q67" i="7"/>
  <c r="Q9" i="7"/>
  <c r="Q25" i="7"/>
  <c r="Q41" i="7"/>
  <c r="Q44" i="7"/>
  <c r="Q39" i="7"/>
  <c r="Q55" i="7"/>
  <c r="Q30" i="7"/>
  <c r="Q46" i="7"/>
  <c r="Q62" i="7"/>
  <c r="Q15" i="7"/>
  <c r="Q63" i="7"/>
  <c r="Q22" i="7"/>
  <c r="Q65" i="7"/>
  <c r="Q56" i="7"/>
  <c r="U28" i="7"/>
  <c r="Q52" i="7"/>
  <c r="U14" i="7"/>
  <c r="U42" i="7"/>
  <c r="U32" i="7"/>
  <c r="Q28" i="7"/>
  <c r="Q38" i="7"/>
  <c r="Q43" i="7"/>
  <c r="Q23" i="7"/>
  <c r="Q33" i="7"/>
  <c r="Q54" i="7"/>
  <c r="Q14" i="7"/>
  <c r="Q19" i="7"/>
  <c r="Q50" i="7"/>
  <c r="Q66" i="7"/>
  <c r="P70" i="7"/>
  <c r="U66" i="7"/>
  <c r="Q31" i="7"/>
  <c r="Q36" i="7"/>
  <c r="Q57" i="7"/>
  <c r="Q59" i="7"/>
  <c r="V70" i="7"/>
  <c r="W54" i="7" s="1"/>
  <c r="Q47" i="7"/>
  <c r="Q6" i="7"/>
  <c r="Q27" i="7"/>
  <c r="Q32" i="7"/>
  <c r="Q37" i="7"/>
  <c r="Q58" i="7"/>
  <c r="Q26" i="7"/>
  <c r="O70" i="7"/>
  <c r="Q4" i="7"/>
  <c r="Q10" i="7"/>
  <c r="U11" i="7"/>
  <c r="U46" i="7"/>
  <c r="U18" i="7"/>
  <c r="U33" i="7"/>
  <c r="U57" i="7"/>
  <c r="U49" i="7"/>
  <c r="U52" i="7"/>
  <c r="U39" i="7"/>
  <c r="U60" i="7"/>
  <c r="U36" i="7"/>
  <c r="U26" i="7"/>
  <c r="U25" i="7"/>
  <c r="U30" i="7"/>
  <c r="U27" i="7"/>
  <c r="U50" i="7"/>
  <c r="U12" i="7"/>
  <c r="U65" i="7"/>
  <c r="U9" i="7"/>
  <c r="U23" i="7"/>
  <c r="U48" i="7"/>
  <c r="U17" i="7"/>
  <c r="U45" i="7"/>
  <c r="U61" i="7"/>
  <c r="U16" i="7"/>
  <c r="U68" i="7"/>
  <c r="U44" i="7"/>
  <c r="U58" i="7"/>
  <c r="U41" i="7"/>
  <c r="U6" i="7"/>
  <c r="U10" i="7"/>
  <c r="U64" i="7"/>
  <c r="U34" i="7"/>
  <c r="U62" i="7"/>
  <c r="U63" i="7"/>
  <c r="U47" i="7"/>
  <c r="U31" i="7"/>
  <c r="U15" i="7"/>
  <c r="U24" i="7"/>
  <c r="U54" i="7"/>
  <c r="U38" i="7"/>
  <c r="U22" i="7"/>
  <c r="U8" i="7"/>
  <c r="U67" i="7"/>
  <c r="U51" i="7"/>
  <c r="U35" i="7"/>
  <c r="U19" i="7"/>
  <c r="U29" i="7"/>
  <c r="U43" i="7"/>
  <c r="U13" i="7"/>
  <c r="U59" i="7"/>
  <c r="U55" i="7"/>
  <c r="U7" i="7"/>
  <c r="U56" i="7"/>
  <c r="U40" i="7"/>
  <c r="U69" i="7"/>
  <c r="U53" i="7"/>
  <c r="U37" i="7"/>
  <c r="U21" i="7"/>
  <c r="U5" i="7"/>
  <c r="W63" i="7"/>
  <c r="U4" i="7"/>
  <c r="Q5" i="7"/>
  <c r="W46" i="7" l="1"/>
  <c r="W27" i="7"/>
  <c r="W14" i="7"/>
  <c r="W35" i="7"/>
  <c r="W65" i="7"/>
  <c r="W28" i="7"/>
  <c r="W13" i="7"/>
  <c r="W23" i="7"/>
  <c r="W10" i="7"/>
  <c r="W45" i="7"/>
  <c r="W61" i="7"/>
  <c r="W62" i="7"/>
  <c r="W29" i="7"/>
  <c r="W42" i="7"/>
  <c r="W20" i="7"/>
  <c r="W39" i="7"/>
  <c r="W53" i="7"/>
  <c r="W4" i="7"/>
  <c r="W56" i="7"/>
  <c r="W40" i="7"/>
  <c r="W15" i="7"/>
  <c r="W31" i="7"/>
  <c r="W47" i="7"/>
  <c r="W67" i="7"/>
  <c r="W30" i="7"/>
  <c r="W34" i="7"/>
  <c r="W16" i="7"/>
  <c r="W21" i="7"/>
  <c r="W6" i="7"/>
  <c r="W12" i="7"/>
  <c r="W11" i="7"/>
  <c r="W66" i="7"/>
  <c r="W48" i="7"/>
  <c r="W68" i="7"/>
  <c r="W55" i="7"/>
  <c r="W59" i="7"/>
  <c r="W60" i="7"/>
  <c r="W19" i="7"/>
  <c r="W32" i="7"/>
  <c r="W69" i="7"/>
  <c r="W33" i="7"/>
  <c r="W17" i="7"/>
  <c r="W18" i="7"/>
  <c r="W9" i="7"/>
  <c r="W52" i="7"/>
  <c r="W38" i="7"/>
  <c r="W44" i="7"/>
  <c r="W50" i="7"/>
  <c r="W64" i="7"/>
  <c r="W49" i="7"/>
  <c r="W25" i="7"/>
  <c r="W43" i="7"/>
  <c r="W22" i="7"/>
  <c r="W41" i="7"/>
  <c r="W36" i="7"/>
  <c r="W58" i="7"/>
  <c r="W37" i="7"/>
  <c r="W57" i="7"/>
  <c r="W24" i="7"/>
  <c r="W26" i="7"/>
  <c r="W8" i="7"/>
  <c r="W7" i="7"/>
  <c r="W5" i="7"/>
  <c r="W51" i="7"/>
  <c r="Q70" i="7"/>
  <c r="U70" i="7"/>
  <c r="W70" i="7" l="1"/>
  <c r="R21" i="7"/>
  <c r="S21" i="7" s="1"/>
  <c r="X21" i="7" s="1"/>
  <c r="Y21" i="7" s="1"/>
  <c r="Z21" i="7" s="1"/>
  <c r="R28" i="7"/>
  <c r="S28" i="7" s="1"/>
  <c r="X28" i="7" s="1"/>
  <c r="Y28" i="7" s="1"/>
  <c r="Z28" i="7" s="1"/>
  <c r="R37" i="7"/>
  <c r="S37" i="7" s="1"/>
  <c r="X37" i="7" s="1"/>
  <c r="Y37" i="7" s="1"/>
  <c r="Z37" i="7" s="1"/>
  <c r="R44" i="7"/>
  <c r="S44" i="7" s="1"/>
  <c r="X44" i="7" s="1"/>
  <c r="Y44" i="7" s="1"/>
  <c r="Z44" i="7" s="1"/>
  <c r="R12" i="7"/>
  <c r="S12" i="7" s="1"/>
  <c r="X12" i="7" s="1"/>
  <c r="Y12" i="7" s="1"/>
  <c r="Z12" i="7" s="1"/>
  <c r="R62" i="7"/>
  <c r="S62" i="7" s="1"/>
  <c r="X62" i="7" s="1"/>
  <c r="Y62" i="7" s="1"/>
  <c r="Z62" i="7" s="1"/>
  <c r="R67" i="7"/>
  <c r="S67" i="7" s="1"/>
  <c r="X67" i="7" s="1"/>
  <c r="Y67" i="7" s="1"/>
  <c r="Z67" i="7" s="1"/>
  <c r="R45" i="7"/>
  <c r="S45" i="7" s="1"/>
  <c r="X45" i="7" s="1"/>
  <c r="Y45" i="7" s="1"/>
  <c r="Z45" i="7" s="1"/>
  <c r="R24" i="7"/>
  <c r="S24" i="7" s="1"/>
  <c r="X24" i="7" s="1"/>
  <c r="Y24" i="7" s="1"/>
  <c r="Z24" i="7" s="1"/>
  <c r="R64" i="7"/>
  <c r="S64" i="7" s="1"/>
  <c r="X64" i="7" s="1"/>
  <c r="Y64" i="7" s="1"/>
  <c r="Z64" i="7" s="1"/>
  <c r="R63" i="7"/>
  <c r="S63" i="7" s="1"/>
  <c r="X63" i="7" s="1"/>
  <c r="Y63" i="7" s="1"/>
  <c r="Z63" i="7" s="1"/>
  <c r="R9" i="7"/>
  <c r="S9" i="7" s="1"/>
  <c r="X9" i="7" s="1"/>
  <c r="Y9" i="7" s="1"/>
  <c r="Z9" i="7" s="1"/>
  <c r="R8" i="7"/>
  <c r="S8" i="7" s="1"/>
  <c r="X8" i="7" s="1"/>
  <c r="Y8" i="7" s="1"/>
  <c r="Z8" i="7" s="1"/>
  <c r="R25" i="7"/>
  <c r="S25" i="7" s="1"/>
  <c r="X25" i="7" s="1"/>
  <c r="Y25" i="7" s="1"/>
  <c r="Z25" i="7" s="1"/>
  <c r="R36" i="7"/>
  <c r="S36" i="7" s="1"/>
  <c r="X36" i="7" s="1"/>
  <c r="Y36" i="7" s="1"/>
  <c r="Z36" i="7" s="1"/>
  <c r="R65" i="7"/>
  <c r="S65" i="7" s="1"/>
  <c r="X65" i="7" s="1"/>
  <c r="Y65" i="7" s="1"/>
  <c r="Z65" i="7" s="1"/>
  <c r="R40" i="7"/>
  <c r="S40" i="7" s="1"/>
  <c r="X40" i="7" s="1"/>
  <c r="Y40" i="7" s="1"/>
  <c r="Z40" i="7" s="1"/>
  <c r="R48" i="7"/>
  <c r="S48" i="7" s="1"/>
  <c r="X48" i="7" s="1"/>
  <c r="Y48" i="7" s="1"/>
  <c r="Z48" i="7" s="1"/>
  <c r="R57" i="7"/>
  <c r="S57" i="7" s="1"/>
  <c r="X57" i="7" s="1"/>
  <c r="Y57" i="7" s="1"/>
  <c r="Z57" i="7" s="1"/>
  <c r="R60" i="7"/>
  <c r="S60" i="7" s="1"/>
  <c r="X60" i="7" s="1"/>
  <c r="Y60" i="7" s="1"/>
  <c r="Z60" i="7" s="1"/>
  <c r="R32" i="7"/>
  <c r="S32" i="7" s="1"/>
  <c r="X32" i="7" s="1"/>
  <c r="Y32" i="7" s="1"/>
  <c r="Z32" i="7" s="1"/>
  <c r="R55" i="7"/>
  <c r="S55" i="7" s="1"/>
  <c r="X55" i="7" s="1"/>
  <c r="Y55" i="7" s="1"/>
  <c r="Z55" i="7" s="1"/>
  <c r="R23" i="7"/>
  <c r="S23" i="7" s="1"/>
  <c r="X23" i="7" s="1"/>
  <c r="Y23" i="7" s="1"/>
  <c r="Z23" i="7" s="1"/>
  <c r="R50" i="7"/>
  <c r="S50" i="7" s="1"/>
  <c r="X50" i="7" s="1"/>
  <c r="Y50" i="7" s="1"/>
  <c r="Z50" i="7" s="1"/>
  <c r="R47" i="7"/>
  <c r="S47" i="7" s="1"/>
  <c r="X47" i="7" s="1"/>
  <c r="Y47" i="7" s="1"/>
  <c r="Z47" i="7" s="1"/>
  <c r="R13" i="7"/>
  <c r="S13" i="7" s="1"/>
  <c r="X13" i="7" s="1"/>
  <c r="Y13" i="7" s="1"/>
  <c r="Z13" i="7" s="1"/>
  <c r="R35" i="7"/>
  <c r="S35" i="7" s="1"/>
  <c r="X35" i="7" s="1"/>
  <c r="Y35" i="7" s="1"/>
  <c r="Z35" i="7" s="1"/>
  <c r="R61" i="7"/>
  <c r="S61" i="7" s="1"/>
  <c r="X61" i="7" s="1"/>
  <c r="Y61" i="7" s="1"/>
  <c r="Z61" i="7" s="1"/>
  <c r="R17" i="7"/>
  <c r="S17" i="7" s="1"/>
  <c r="X17" i="7" s="1"/>
  <c r="Y17" i="7" s="1"/>
  <c r="Z17" i="7" s="1"/>
  <c r="R6" i="7"/>
  <c r="S6" i="7" s="1"/>
  <c r="X6" i="7" s="1"/>
  <c r="Y6" i="7" s="1"/>
  <c r="Z6" i="7" s="1"/>
  <c r="R56" i="7"/>
  <c r="S56" i="7" s="1"/>
  <c r="X56" i="7" s="1"/>
  <c r="Y56" i="7" s="1"/>
  <c r="Z56" i="7" s="1"/>
  <c r="R43" i="7"/>
  <c r="S43" i="7" s="1"/>
  <c r="X43" i="7" s="1"/>
  <c r="Y43" i="7" s="1"/>
  <c r="Z43" i="7" s="1"/>
  <c r="R68" i="7"/>
  <c r="S68" i="7" s="1"/>
  <c r="X68" i="7" s="1"/>
  <c r="Y68" i="7" s="1"/>
  <c r="Z68" i="7" s="1"/>
  <c r="R38" i="7"/>
  <c r="S38" i="7" s="1"/>
  <c r="X38" i="7" s="1"/>
  <c r="Y38" i="7" s="1"/>
  <c r="Z38" i="7" s="1"/>
  <c r="R31" i="7"/>
  <c r="S31" i="7" s="1"/>
  <c r="X31" i="7" s="1"/>
  <c r="Y31" i="7" s="1"/>
  <c r="Z31" i="7" s="1"/>
  <c r="R34" i="7"/>
  <c r="S34" i="7" s="1"/>
  <c r="X34" i="7" s="1"/>
  <c r="Y34" i="7" s="1"/>
  <c r="Z34" i="7" s="1"/>
  <c r="R42" i="7"/>
  <c r="S42" i="7" s="1"/>
  <c r="X42" i="7" s="1"/>
  <c r="Y42" i="7" s="1"/>
  <c r="Z42" i="7" s="1"/>
  <c r="R29" i="7"/>
  <c r="S29" i="7" s="1"/>
  <c r="X29" i="7" s="1"/>
  <c r="Y29" i="7" s="1"/>
  <c r="Z29" i="7" s="1"/>
  <c r="R59" i="7"/>
  <c r="S59" i="7" s="1"/>
  <c r="X59" i="7" s="1"/>
  <c r="Y59" i="7" s="1"/>
  <c r="Z59" i="7" s="1"/>
  <c r="R52" i="7"/>
  <c r="S52" i="7" s="1"/>
  <c r="X52" i="7" s="1"/>
  <c r="Y52" i="7" s="1"/>
  <c r="Z52" i="7" s="1"/>
  <c r="R58" i="7"/>
  <c r="S58" i="7" s="1"/>
  <c r="X58" i="7" s="1"/>
  <c r="Y58" i="7" s="1"/>
  <c r="Z58" i="7" s="1"/>
  <c r="R49" i="7"/>
  <c r="S49" i="7" s="1"/>
  <c r="X49" i="7" s="1"/>
  <c r="Y49" i="7" s="1"/>
  <c r="Z49" i="7" s="1"/>
  <c r="R33" i="7"/>
  <c r="S33" i="7" s="1"/>
  <c r="X33" i="7" s="1"/>
  <c r="Y33" i="7" s="1"/>
  <c r="Z33" i="7" s="1"/>
  <c r="R66" i="7"/>
  <c r="S66" i="7" s="1"/>
  <c r="X66" i="7" s="1"/>
  <c r="Y66" i="7" s="1"/>
  <c r="Z66" i="7" s="1"/>
  <c r="R39" i="7"/>
  <c r="S39" i="7" s="1"/>
  <c r="X39" i="7" s="1"/>
  <c r="Y39" i="7" s="1"/>
  <c r="Z39" i="7" s="1"/>
  <c r="R22" i="7"/>
  <c r="S22" i="7" s="1"/>
  <c r="X22" i="7" s="1"/>
  <c r="Y22" i="7" s="1"/>
  <c r="Z22" i="7" s="1"/>
  <c r="R18" i="7"/>
  <c r="S18" i="7" s="1"/>
  <c r="X18" i="7" s="1"/>
  <c r="Y18" i="7" s="1"/>
  <c r="Z18" i="7" s="1"/>
  <c r="R51" i="7"/>
  <c r="S51" i="7" s="1"/>
  <c r="X51" i="7" s="1"/>
  <c r="Y51" i="7" s="1"/>
  <c r="Z51" i="7" s="1"/>
  <c r="R7" i="7"/>
  <c r="S7" i="7" s="1"/>
  <c r="X7" i="7" s="1"/>
  <c r="Y7" i="7" s="1"/>
  <c r="Z7" i="7" s="1"/>
  <c r="R30" i="7"/>
  <c r="S30" i="7" s="1"/>
  <c r="X30" i="7" s="1"/>
  <c r="Y30" i="7" s="1"/>
  <c r="Z30" i="7" s="1"/>
  <c r="R46" i="7"/>
  <c r="S46" i="7" s="1"/>
  <c r="X46" i="7" s="1"/>
  <c r="Y46" i="7" s="1"/>
  <c r="Z46" i="7" s="1"/>
  <c r="R41" i="7"/>
  <c r="S41" i="7" s="1"/>
  <c r="X41" i="7" s="1"/>
  <c r="Y41" i="7" s="1"/>
  <c r="Z41" i="7" s="1"/>
  <c r="R27" i="7"/>
  <c r="S27" i="7" s="1"/>
  <c r="X27" i="7" s="1"/>
  <c r="Y27" i="7" s="1"/>
  <c r="Z27" i="7" s="1"/>
  <c r="R16" i="7"/>
  <c r="S16" i="7" s="1"/>
  <c r="X16" i="7" s="1"/>
  <c r="Y16" i="7" s="1"/>
  <c r="Z16" i="7" s="1"/>
  <c r="R53" i="7"/>
  <c r="S53" i="7" s="1"/>
  <c r="X53" i="7" s="1"/>
  <c r="Y53" i="7" s="1"/>
  <c r="Z53" i="7" s="1"/>
  <c r="R15" i="7"/>
  <c r="S15" i="7" s="1"/>
  <c r="X15" i="7" s="1"/>
  <c r="Y15" i="7" s="1"/>
  <c r="Z15" i="7" s="1"/>
  <c r="R54" i="7"/>
  <c r="S54" i="7" s="1"/>
  <c r="X54" i="7" s="1"/>
  <c r="Y54" i="7" s="1"/>
  <c r="Z54" i="7" s="1"/>
  <c r="R11" i="7"/>
  <c r="S11" i="7" s="1"/>
  <c r="X11" i="7" s="1"/>
  <c r="Y11" i="7" s="1"/>
  <c r="Z11" i="7" s="1"/>
  <c r="R20" i="7"/>
  <c r="S20" i="7" s="1"/>
  <c r="X20" i="7" s="1"/>
  <c r="Y20" i="7" s="1"/>
  <c r="Z20" i="7" s="1"/>
  <c r="R14" i="7"/>
  <c r="S14" i="7" s="1"/>
  <c r="X14" i="7" s="1"/>
  <c r="Y14" i="7" s="1"/>
  <c r="Z14" i="7" s="1"/>
  <c r="R19" i="7"/>
  <c r="S19" i="7" s="1"/>
  <c r="X19" i="7" s="1"/>
  <c r="Y19" i="7" s="1"/>
  <c r="Z19" i="7" s="1"/>
  <c r="R69" i="7"/>
  <c r="S69" i="7" s="1"/>
  <c r="X69" i="7" s="1"/>
  <c r="Y69" i="7" s="1"/>
  <c r="Z69" i="7" s="1"/>
  <c r="R26" i="7"/>
  <c r="S26" i="7" s="1"/>
  <c r="X26" i="7" s="1"/>
  <c r="Y26" i="7" s="1"/>
  <c r="Z26" i="7" s="1"/>
  <c r="R5" i="7"/>
  <c r="S5" i="7" s="1"/>
  <c r="R4" i="7"/>
  <c r="R10" i="7"/>
  <c r="S10" i="7" s="1"/>
  <c r="X10" i="7" s="1"/>
  <c r="Y10" i="7" s="1"/>
  <c r="Z10" i="7" s="1"/>
  <c r="R70" i="7" l="1"/>
  <c r="S4" i="7"/>
  <c r="X4" i="7" s="1"/>
  <c r="Y4" i="7" s="1"/>
  <c r="X5" i="7"/>
  <c r="Y5" i="7" s="1"/>
  <c r="Z5" i="7" s="1"/>
  <c r="S70" i="7"/>
  <c r="Z4" i="7" l="1"/>
  <c r="Z70" i="7" s="1"/>
  <c r="Y70" i="7"/>
  <c r="Z71" i="7" s="1"/>
  <c r="X70" i="7"/>
  <c r="F70" i="7"/>
  <c r="G70" i="7"/>
  <c r="C70" i="7"/>
  <c r="M70" i="7"/>
  <c r="K70" i="7"/>
  <c r="J70" i="7"/>
  <c r="I70" i="7"/>
  <c r="H70" i="7"/>
  <c r="E70" i="7"/>
  <c r="D70" i="7"/>
  <c r="R70" i="6"/>
  <c r="K70" i="6"/>
  <c r="J70" i="6"/>
  <c r="I70" i="6"/>
  <c r="H70" i="6"/>
  <c r="G70" i="6"/>
  <c r="F70" i="6"/>
  <c r="E70" i="6"/>
  <c r="D70" i="6"/>
  <c r="C70" i="6"/>
  <c r="B70" i="6"/>
  <c r="Q69" i="6"/>
  <c r="O69" i="6"/>
  <c r="Q68" i="6"/>
  <c r="O68" i="6"/>
  <c r="M68" i="6"/>
  <c r="S67" i="6"/>
  <c r="Q67" i="6"/>
  <c r="O67" i="6"/>
  <c r="M67" i="6"/>
  <c r="M66" i="6"/>
  <c r="Q66" i="6" s="1"/>
  <c r="M65" i="6"/>
  <c r="O65" i="6" s="1"/>
  <c r="O64" i="6"/>
  <c r="M64" i="6"/>
  <c r="Q64" i="6" s="1"/>
  <c r="Q63" i="6"/>
  <c r="O63" i="6"/>
  <c r="Q62" i="6"/>
  <c r="O62" i="6"/>
  <c r="M62" i="6"/>
  <c r="Q61" i="6"/>
  <c r="O61" i="6"/>
  <c r="O60" i="6"/>
  <c r="M60" i="6"/>
  <c r="Q60" i="6" s="1"/>
  <c r="M59" i="6"/>
  <c r="O59" i="6" s="1"/>
  <c r="S58" i="6"/>
  <c r="M58" i="6"/>
  <c r="Q58" i="6" s="1"/>
  <c r="M57" i="6"/>
  <c r="Q57" i="6" s="1"/>
  <c r="M56" i="6"/>
  <c r="O56" i="6" s="1"/>
  <c r="Q55" i="6"/>
  <c r="O55" i="6"/>
  <c r="Q54" i="6"/>
  <c r="O54" i="6"/>
  <c r="M54" i="6"/>
  <c r="Q53" i="6"/>
  <c r="O53" i="6"/>
  <c r="M53" i="6"/>
  <c r="M52" i="6"/>
  <c r="O52" i="6" s="1"/>
  <c r="S51" i="6"/>
  <c r="O51" i="6"/>
  <c r="M51" i="6"/>
  <c r="Q51" i="6" s="1"/>
  <c r="M50" i="6"/>
  <c r="Q50" i="6" s="1"/>
  <c r="M49" i="6"/>
  <c r="Q49" i="6" s="1"/>
  <c r="Q48" i="6"/>
  <c r="O48" i="6"/>
  <c r="M48" i="6"/>
  <c r="S47" i="6"/>
  <c r="Q47" i="6"/>
  <c r="O47" i="6"/>
  <c r="M47" i="6"/>
  <c r="S46" i="6"/>
  <c r="M46" i="6"/>
  <c r="Q46" i="6" s="1"/>
  <c r="M45" i="6"/>
  <c r="Q45" i="6" s="1"/>
  <c r="M44" i="6"/>
  <c r="Q44" i="6" s="1"/>
  <c r="S43" i="6"/>
  <c r="Q43" i="6"/>
  <c r="O43" i="6"/>
  <c r="M43" i="6"/>
  <c r="S42" i="6"/>
  <c r="Q42" i="6" s="1"/>
  <c r="M42" i="6"/>
  <c r="O42" i="6" s="1"/>
  <c r="S41" i="6"/>
  <c r="Q41" i="6" s="1"/>
  <c r="M41" i="6"/>
  <c r="O41" i="6" s="1"/>
  <c r="M40" i="6"/>
  <c r="Q40" i="6" s="1"/>
  <c r="M39" i="6"/>
  <c r="Q39" i="6" s="1"/>
  <c r="M38" i="6"/>
  <c r="O38" i="6" s="1"/>
  <c r="Q37" i="6"/>
  <c r="O37" i="6"/>
  <c r="M37" i="6"/>
  <c r="Q36" i="6"/>
  <c r="M36" i="6"/>
  <c r="O36" i="6" s="1"/>
  <c r="Q35" i="6"/>
  <c r="O35" i="6"/>
  <c r="M35" i="6"/>
  <c r="M34" i="6"/>
  <c r="O34" i="6" s="1"/>
  <c r="S33" i="6"/>
  <c r="M33" i="6"/>
  <c r="Q33" i="6" s="1"/>
  <c r="M32" i="6"/>
  <c r="O32" i="6" s="1"/>
  <c r="S31" i="6"/>
  <c r="Q31" i="6"/>
  <c r="O31" i="6"/>
  <c r="M31" i="6"/>
  <c r="S30" i="6"/>
  <c r="Q30" i="6" s="1"/>
  <c r="M30" i="6"/>
  <c r="O30" i="6" s="1"/>
  <c r="M29" i="6"/>
  <c r="Q29" i="6" s="1"/>
  <c r="M28" i="6"/>
  <c r="Q28" i="6" s="1"/>
  <c r="M27" i="6"/>
  <c r="O27" i="6" s="1"/>
  <c r="M26" i="6"/>
  <c r="Q26" i="6" s="1"/>
  <c r="M25" i="6"/>
  <c r="O25" i="6" s="1"/>
  <c r="Q24" i="6"/>
  <c r="O24" i="6"/>
  <c r="M24" i="6"/>
  <c r="S23" i="6"/>
  <c r="Q23" i="6" s="1"/>
  <c r="O23" i="6"/>
  <c r="M23" i="6"/>
  <c r="Q22" i="6"/>
  <c r="O22" i="6"/>
  <c r="M21" i="6"/>
  <c r="Q21" i="6" s="1"/>
  <c r="M20" i="6"/>
  <c r="O20" i="6" s="1"/>
  <c r="M19" i="6"/>
  <c r="Q19" i="6" s="1"/>
  <c r="Q18" i="6"/>
  <c r="O18" i="6"/>
  <c r="Q17" i="6"/>
  <c r="O17" i="6"/>
  <c r="M16" i="6"/>
  <c r="Q16" i="6" s="1"/>
  <c r="M15" i="6"/>
  <c r="Q15" i="6" s="1"/>
  <c r="M14" i="6"/>
  <c r="Q14" i="6" s="1"/>
  <c r="M13" i="6"/>
  <c r="Q13" i="6" s="1"/>
  <c r="M12" i="6"/>
  <c r="O12" i="6" s="1"/>
  <c r="S11" i="6"/>
  <c r="Q11" i="6"/>
  <c r="O11" i="6"/>
  <c r="M11" i="6"/>
  <c r="S10" i="6"/>
  <c r="Q10" i="6" s="1"/>
  <c r="M10" i="6"/>
  <c r="O10" i="6" s="1"/>
  <c r="M9" i="6"/>
  <c r="Q9" i="6" s="1"/>
  <c r="Q8" i="6"/>
  <c r="O8" i="6"/>
  <c r="M7" i="6"/>
  <c r="Q7" i="6" s="1"/>
  <c r="M6" i="6"/>
  <c r="Q6" i="6" s="1"/>
  <c r="M5" i="6"/>
  <c r="Q5" i="6" s="1"/>
  <c r="S4" i="6"/>
  <c r="S70" i="6" s="1"/>
  <c r="O4" i="6"/>
  <c r="M4" i="6"/>
  <c r="O1" i="6"/>
  <c r="R70" i="5"/>
  <c r="M70" i="5"/>
  <c r="K70" i="5"/>
  <c r="J70" i="5"/>
  <c r="I70" i="5"/>
  <c r="H70" i="5"/>
  <c r="G70" i="5"/>
  <c r="F70" i="5"/>
  <c r="E70" i="5"/>
  <c r="D70" i="5"/>
  <c r="C70" i="5"/>
  <c r="B70" i="5"/>
  <c r="Q69" i="5"/>
  <c r="O69" i="5"/>
  <c r="S68" i="5"/>
  <c r="Q68" i="5"/>
  <c r="O68" i="5"/>
  <c r="S67" i="5"/>
  <c r="Q67" i="5"/>
  <c r="O67" i="5"/>
  <c r="Q66" i="5"/>
  <c r="O66" i="5"/>
  <c r="S65" i="5"/>
  <c r="Q65" i="5"/>
  <c r="O65" i="5"/>
  <c r="Q64" i="5"/>
  <c r="O64" i="5"/>
  <c r="Q63" i="5"/>
  <c r="O63" i="5"/>
  <c r="Q62" i="5"/>
  <c r="O62" i="5"/>
  <c r="Q61" i="5"/>
  <c r="O61" i="5"/>
  <c r="Q60" i="5"/>
  <c r="O60" i="5"/>
  <c r="Q59" i="5"/>
  <c r="O59" i="5"/>
  <c r="Q58" i="5"/>
  <c r="O58" i="5"/>
  <c r="Q57" i="5"/>
  <c r="O57" i="5"/>
  <c r="Q56" i="5"/>
  <c r="O56" i="5"/>
  <c r="Q55" i="5"/>
  <c r="O55" i="5"/>
  <c r="Q54" i="5"/>
  <c r="O54" i="5"/>
  <c r="S53" i="5"/>
  <c r="Q53" i="5"/>
  <c r="O53" i="5"/>
  <c r="S52" i="5"/>
  <c r="Q52" i="5"/>
  <c r="O52" i="5"/>
  <c r="S51" i="5"/>
  <c r="Q51" i="5"/>
  <c r="O51" i="5"/>
  <c r="S50" i="5"/>
  <c r="Q50" i="5" s="1"/>
  <c r="O50" i="5"/>
  <c r="Q49" i="5"/>
  <c r="O49" i="5"/>
  <c r="Q48" i="5"/>
  <c r="O48" i="5"/>
  <c r="S47" i="5"/>
  <c r="Q47" i="5"/>
  <c r="O47" i="5"/>
  <c r="S46" i="5"/>
  <c r="Q46" i="5" s="1"/>
  <c r="O46" i="5"/>
  <c r="Q45" i="5"/>
  <c r="O45" i="5"/>
  <c r="Q44" i="5"/>
  <c r="O44" i="5"/>
  <c r="S43" i="5"/>
  <c r="Q43" i="5"/>
  <c r="O43" i="5"/>
  <c r="S42" i="5"/>
  <c r="Q42" i="5" s="1"/>
  <c r="O42" i="5"/>
  <c r="Q41" i="5"/>
  <c r="O41" i="5"/>
  <c r="Q40" i="5"/>
  <c r="O40" i="5"/>
  <c r="Q39" i="5"/>
  <c r="O39" i="5"/>
  <c r="Q38" i="5"/>
  <c r="O38" i="5"/>
  <c r="Q37" i="5"/>
  <c r="O37" i="5"/>
  <c r="Q36" i="5"/>
  <c r="O36" i="5"/>
  <c r="Q35" i="5"/>
  <c r="O35" i="5"/>
  <c r="Q34" i="5"/>
  <c r="O34" i="5"/>
  <c r="Q33" i="5"/>
  <c r="O33" i="5"/>
  <c r="S32" i="5"/>
  <c r="Q32" i="5"/>
  <c r="O32" i="5"/>
  <c r="S31" i="5"/>
  <c r="Q31" i="5"/>
  <c r="O31" i="5"/>
  <c r="S30" i="5"/>
  <c r="Q30" i="5"/>
  <c r="O30" i="5"/>
  <c r="Q29" i="5"/>
  <c r="O29" i="5"/>
  <c r="Q28" i="5"/>
  <c r="O28" i="5"/>
  <c r="Q27" i="5"/>
  <c r="O27" i="5"/>
  <c r="Q26" i="5"/>
  <c r="O26" i="5"/>
  <c r="S25" i="5"/>
  <c r="Q25" i="5"/>
  <c r="O25" i="5"/>
  <c r="Q24" i="5"/>
  <c r="O24" i="5"/>
  <c r="Q23" i="5"/>
  <c r="O23" i="5"/>
  <c r="Q22" i="5"/>
  <c r="O22" i="5"/>
  <c r="Q21" i="5"/>
  <c r="O21" i="5"/>
  <c r="S20" i="5"/>
  <c r="Q20" i="5"/>
  <c r="O20" i="5"/>
  <c r="Q19" i="5"/>
  <c r="O19" i="5"/>
  <c r="Q18" i="5"/>
  <c r="O18" i="5"/>
  <c r="Q17" i="5"/>
  <c r="O17" i="5"/>
  <c r="Q16" i="5"/>
  <c r="O16" i="5"/>
  <c r="Q15" i="5"/>
  <c r="O15" i="5"/>
  <c r="Q14" i="5"/>
  <c r="O14" i="5"/>
  <c r="Q13" i="5"/>
  <c r="O13" i="5"/>
  <c r="Q12" i="5"/>
  <c r="O12" i="5"/>
  <c r="S11" i="5"/>
  <c r="Q11" i="5"/>
  <c r="O11" i="5"/>
  <c r="S10" i="5"/>
  <c r="Q10" i="5"/>
  <c r="O10" i="5"/>
  <c r="Q9" i="5"/>
  <c r="O9" i="5"/>
  <c r="Q8" i="5"/>
  <c r="O8" i="5"/>
  <c r="Q7" i="5"/>
  <c r="O7" i="5"/>
  <c r="S6" i="5"/>
  <c r="Q6" i="5" s="1"/>
  <c r="O6" i="5"/>
  <c r="S5" i="5"/>
  <c r="Q5" i="5"/>
  <c r="O5" i="5"/>
  <c r="S4" i="5"/>
  <c r="S70" i="5" s="1"/>
  <c r="Q4" i="5"/>
  <c r="Q70" i="5" s="1"/>
  <c r="O4" i="5"/>
  <c r="O70" i="5" s="1"/>
  <c r="O1" i="5"/>
  <c r="R70" i="4"/>
  <c r="M70" i="4"/>
  <c r="K70" i="4"/>
  <c r="J70" i="4"/>
  <c r="I70" i="4"/>
  <c r="H70" i="4"/>
  <c r="G70" i="4"/>
  <c r="F70" i="4"/>
  <c r="E70" i="4"/>
  <c r="D70" i="4"/>
  <c r="C70" i="4"/>
  <c r="B70" i="4"/>
  <c r="Q69" i="4"/>
  <c r="O69" i="4"/>
  <c r="S68" i="4"/>
  <c r="Q68" i="4"/>
  <c r="O68" i="4"/>
  <c r="S67" i="4"/>
  <c r="Q67" i="4"/>
  <c r="O67" i="4"/>
  <c r="Q66" i="4"/>
  <c r="O66" i="4"/>
  <c r="Q65" i="4"/>
  <c r="O65" i="4"/>
  <c r="Q64" i="4"/>
  <c r="O64" i="4"/>
  <c r="Q63" i="4"/>
  <c r="O63" i="4"/>
  <c r="Q62" i="4"/>
  <c r="O62" i="4"/>
  <c r="Q61" i="4"/>
  <c r="O61" i="4"/>
  <c r="Q60" i="4"/>
  <c r="O60" i="4"/>
  <c r="Q59" i="4"/>
  <c r="O59" i="4"/>
  <c r="Q58" i="4"/>
  <c r="O58" i="4"/>
  <c r="Q57" i="4"/>
  <c r="O57" i="4"/>
  <c r="Q56" i="4"/>
  <c r="O56" i="4"/>
  <c r="Q55" i="4"/>
  <c r="O55" i="4"/>
  <c r="Q54" i="4"/>
  <c r="O54" i="4"/>
  <c r="S53" i="4"/>
  <c r="Q53" i="4"/>
  <c r="O53" i="4"/>
  <c r="Q52" i="4"/>
  <c r="O52" i="4"/>
  <c r="Q51" i="4"/>
  <c r="O51" i="4"/>
  <c r="Q50" i="4"/>
  <c r="O50" i="4"/>
  <c r="Q49" i="4"/>
  <c r="O49" i="4"/>
  <c r="Q48" i="4"/>
  <c r="O48" i="4"/>
  <c r="S47" i="4"/>
  <c r="Q47" i="4"/>
  <c r="O47" i="4"/>
  <c r="S46" i="4"/>
  <c r="Q46" i="4"/>
  <c r="O46" i="4"/>
  <c r="Q45" i="4"/>
  <c r="O45" i="4"/>
  <c r="Q44" i="4"/>
  <c r="O44" i="4"/>
  <c r="S43" i="4"/>
  <c r="Q43" i="4"/>
  <c r="O43" i="4"/>
  <c r="S42" i="4"/>
  <c r="Q42" i="4"/>
  <c r="O42" i="4"/>
  <c r="Q41" i="4"/>
  <c r="O41" i="4"/>
  <c r="Q40" i="4"/>
  <c r="O40" i="4"/>
  <c r="Q39" i="4"/>
  <c r="O39" i="4"/>
  <c r="Q38" i="4"/>
  <c r="O38" i="4"/>
  <c r="Q37" i="4"/>
  <c r="O37" i="4"/>
  <c r="Q36" i="4"/>
  <c r="O36" i="4"/>
  <c r="Q35" i="4"/>
  <c r="O35" i="4"/>
  <c r="Q34" i="4"/>
  <c r="O34" i="4"/>
  <c r="S33" i="4"/>
  <c r="Q33" i="4"/>
  <c r="O33" i="4"/>
  <c r="S32" i="4"/>
  <c r="Q32" i="4"/>
  <c r="O32" i="4"/>
  <c r="S31" i="4"/>
  <c r="Q31" i="4"/>
  <c r="O31" i="4"/>
  <c r="S30" i="4"/>
  <c r="Q30" i="4"/>
  <c r="O30" i="4"/>
  <c r="Q29" i="4"/>
  <c r="O29" i="4"/>
  <c r="Q28" i="4"/>
  <c r="O28" i="4"/>
  <c r="Q27" i="4"/>
  <c r="O27" i="4"/>
  <c r="Q26" i="4"/>
  <c r="O26" i="4"/>
  <c r="S25" i="4"/>
  <c r="Q25" i="4"/>
  <c r="O25" i="4"/>
  <c r="Q24" i="4"/>
  <c r="O24" i="4"/>
  <c r="S23" i="4"/>
  <c r="Q23" i="4"/>
  <c r="O23" i="4"/>
  <c r="Q22" i="4"/>
  <c r="O22" i="4"/>
  <c r="Q21" i="4"/>
  <c r="O21" i="4"/>
  <c r="Q20" i="4"/>
  <c r="O20" i="4"/>
  <c r="Q19" i="4"/>
  <c r="O19" i="4"/>
  <c r="Q18" i="4"/>
  <c r="O18" i="4"/>
  <c r="Q17" i="4"/>
  <c r="O17" i="4"/>
  <c r="Q16" i="4"/>
  <c r="O16" i="4"/>
  <c r="Q15" i="4"/>
  <c r="O15" i="4"/>
  <c r="Q14" i="4"/>
  <c r="O14" i="4"/>
  <c r="Q13" i="4"/>
  <c r="O13" i="4"/>
  <c r="Q12" i="4"/>
  <c r="O12" i="4"/>
  <c r="S11" i="4"/>
  <c r="Q11" i="4"/>
  <c r="O11" i="4"/>
  <c r="S10" i="4"/>
  <c r="Q10" i="4"/>
  <c r="O10" i="4"/>
  <c r="Q9" i="4"/>
  <c r="O9" i="4"/>
  <c r="Q8" i="4"/>
  <c r="O8" i="4"/>
  <c r="Q7" i="4"/>
  <c r="O7" i="4"/>
  <c r="Q6" i="4"/>
  <c r="O6" i="4"/>
  <c r="O70" i="4" s="1"/>
  <c r="Q5" i="4"/>
  <c r="Q70" i="4" s="1"/>
  <c r="O5" i="4"/>
  <c r="S4" i="4"/>
  <c r="S70" i="4" s="1"/>
  <c r="Q4" i="4"/>
  <c r="O4" i="4"/>
  <c r="O1" i="4"/>
  <c r="R70" i="3"/>
  <c r="M70" i="3"/>
  <c r="K70" i="3"/>
  <c r="J70" i="3"/>
  <c r="I70" i="3"/>
  <c r="H70" i="3"/>
  <c r="G70" i="3"/>
  <c r="F70" i="3"/>
  <c r="E70" i="3"/>
  <c r="D70" i="3"/>
  <c r="C70" i="3"/>
  <c r="B70" i="3"/>
  <c r="Q69" i="3"/>
  <c r="O69" i="3"/>
  <c r="Q68" i="3"/>
  <c r="O68" i="3"/>
  <c r="Q67" i="3"/>
  <c r="O67" i="3"/>
  <c r="Q66" i="3"/>
  <c r="O66" i="3"/>
  <c r="Q65" i="3"/>
  <c r="O65" i="3"/>
  <c r="Q64" i="3"/>
  <c r="O64" i="3"/>
  <c r="Q63" i="3"/>
  <c r="O63" i="3"/>
  <c r="Q62" i="3"/>
  <c r="O62" i="3"/>
  <c r="Q61" i="3"/>
  <c r="O61" i="3"/>
  <c r="Q60" i="3"/>
  <c r="O60" i="3"/>
  <c r="Q59" i="3"/>
  <c r="O59" i="3"/>
  <c r="Q58" i="3"/>
  <c r="O58" i="3"/>
  <c r="Q57" i="3"/>
  <c r="O57" i="3"/>
  <c r="Q56" i="3"/>
  <c r="O56" i="3"/>
  <c r="Q55" i="3"/>
  <c r="O55" i="3"/>
  <c r="Q54" i="3"/>
  <c r="O54" i="3"/>
  <c r="Q53" i="3"/>
  <c r="O53" i="3"/>
  <c r="Q52" i="3"/>
  <c r="O52" i="3"/>
  <c r="S51" i="3"/>
  <c r="Q51" i="3"/>
  <c r="O51" i="3"/>
  <c r="Q50" i="3"/>
  <c r="O50" i="3"/>
  <c r="Q49" i="3"/>
  <c r="O49" i="3"/>
  <c r="Q48" i="3"/>
  <c r="O48" i="3"/>
  <c r="S47" i="3"/>
  <c r="Q47" i="3" s="1"/>
  <c r="O47" i="3"/>
  <c r="S46" i="3"/>
  <c r="Q46" i="3"/>
  <c r="O46" i="3"/>
  <c r="Q45" i="3"/>
  <c r="O45" i="3"/>
  <c r="Q44" i="3"/>
  <c r="O44" i="3"/>
  <c r="Q43" i="3"/>
  <c r="O43" i="3"/>
  <c r="Q42" i="3"/>
  <c r="O42" i="3"/>
  <c r="Q41" i="3"/>
  <c r="O41" i="3"/>
  <c r="Q40" i="3"/>
  <c r="O40" i="3"/>
  <c r="Q39" i="3"/>
  <c r="O39" i="3"/>
  <c r="Q38" i="3"/>
  <c r="O38" i="3"/>
  <c r="Q37" i="3"/>
  <c r="O37" i="3"/>
  <c r="Q36" i="3"/>
  <c r="O36" i="3"/>
  <c r="Q35" i="3"/>
  <c r="O35" i="3"/>
  <c r="Q34" i="3"/>
  <c r="O34" i="3"/>
  <c r="Q33" i="3"/>
  <c r="O33" i="3"/>
  <c r="S32" i="3"/>
  <c r="Q32" i="3"/>
  <c r="O32" i="3"/>
  <c r="S31" i="3"/>
  <c r="Q31" i="3"/>
  <c r="O31" i="3"/>
  <c r="S30" i="3"/>
  <c r="Q30" i="3" s="1"/>
  <c r="O30" i="3"/>
  <c r="Q29" i="3"/>
  <c r="O29" i="3"/>
  <c r="Q28" i="3"/>
  <c r="O28" i="3"/>
  <c r="Q27" i="3"/>
  <c r="O27" i="3"/>
  <c r="Q26" i="3"/>
  <c r="O26" i="3"/>
  <c r="S25" i="3"/>
  <c r="Q25" i="3"/>
  <c r="O25" i="3"/>
  <c r="Q24" i="3"/>
  <c r="O24" i="3"/>
  <c r="Q23" i="3"/>
  <c r="O23" i="3"/>
  <c r="Q22" i="3"/>
  <c r="O22" i="3"/>
  <c r="Q21" i="3"/>
  <c r="O21" i="3"/>
  <c r="Q20" i="3"/>
  <c r="O20" i="3"/>
  <c r="Q19" i="3"/>
  <c r="O19" i="3"/>
  <c r="Q18" i="3"/>
  <c r="O18" i="3"/>
  <c r="Q17" i="3"/>
  <c r="O17" i="3"/>
  <c r="Q16" i="3"/>
  <c r="O16" i="3"/>
  <c r="Q15" i="3"/>
  <c r="O15" i="3"/>
  <c r="Q14" i="3"/>
  <c r="O14" i="3"/>
  <c r="Q13" i="3"/>
  <c r="O13" i="3"/>
  <c r="Q12" i="3"/>
  <c r="O12" i="3"/>
  <c r="S11" i="3"/>
  <c r="Q11" i="3" s="1"/>
  <c r="O11" i="3"/>
  <c r="S10" i="3"/>
  <c r="Q10" i="3" s="1"/>
  <c r="O10" i="3"/>
  <c r="Q9" i="3"/>
  <c r="O9" i="3"/>
  <c r="Q8" i="3"/>
  <c r="O8" i="3"/>
  <c r="Q7" i="3"/>
  <c r="O7" i="3"/>
  <c r="Q6" i="3"/>
  <c r="O6" i="3"/>
  <c r="Q5" i="3"/>
  <c r="O5" i="3"/>
  <c r="S4" i="3"/>
  <c r="S70" i="3" s="1"/>
  <c r="Q4" i="3"/>
  <c r="O4" i="3"/>
  <c r="O70" i="3" s="1"/>
  <c r="O1" i="3"/>
  <c r="R70" i="2"/>
  <c r="M70" i="2"/>
  <c r="K70" i="2"/>
  <c r="J70" i="2"/>
  <c r="I70" i="2"/>
  <c r="H70" i="2"/>
  <c r="G70" i="2"/>
  <c r="F70" i="2"/>
  <c r="E70" i="2"/>
  <c r="D70" i="2"/>
  <c r="C70" i="2"/>
  <c r="B70" i="2"/>
  <c r="Q69" i="2"/>
  <c r="O69" i="2"/>
  <c r="Q68" i="2"/>
  <c r="O68" i="2"/>
  <c r="Q67" i="2"/>
  <c r="O67" i="2"/>
  <c r="Q66" i="2"/>
  <c r="O66" i="2"/>
  <c r="Q65" i="2"/>
  <c r="O65" i="2"/>
  <c r="S64" i="2"/>
  <c r="Q64" i="2"/>
  <c r="O64" i="2"/>
  <c r="Q63" i="2"/>
  <c r="O63" i="2"/>
  <c r="Q62" i="2"/>
  <c r="O62" i="2"/>
  <c r="Q61" i="2"/>
  <c r="O61" i="2"/>
  <c r="Q60" i="2"/>
  <c r="O60" i="2"/>
  <c r="Q59" i="2"/>
  <c r="O59" i="2"/>
  <c r="Q58" i="2"/>
  <c r="O58" i="2"/>
  <c r="Q57" i="2"/>
  <c r="O57" i="2"/>
  <c r="Q56" i="2"/>
  <c r="O56" i="2"/>
  <c r="Q55" i="2"/>
  <c r="O55" i="2"/>
  <c r="S54" i="2"/>
  <c r="Q54" i="2"/>
  <c r="O54" i="2"/>
  <c r="Q53" i="2"/>
  <c r="O53" i="2"/>
  <c r="Q52" i="2"/>
  <c r="O52" i="2"/>
  <c r="S51" i="2"/>
  <c r="Q51" i="2"/>
  <c r="O51" i="2"/>
  <c r="Q50" i="2"/>
  <c r="O50" i="2"/>
  <c r="Q49" i="2"/>
  <c r="O49" i="2"/>
  <c r="Q48" i="2"/>
  <c r="O48" i="2"/>
  <c r="Q47" i="2"/>
  <c r="O47" i="2"/>
  <c r="Q46" i="2"/>
  <c r="O46" i="2"/>
  <c r="Q45" i="2"/>
  <c r="O45" i="2"/>
  <c r="S44" i="2"/>
  <c r="Q44" i="2"/>
  <c r="O44" i="2"/>
  <c r="Q43" i="2"/>
  <c r="O43" i="2"/>
  <c r="Q42" i="2"/>
  <c r="O42" i="2"/>
  <c r="Q41" i="2"/>
  <c r="O41" i="2"/>
  <c r="Q40" i="2"/>
  <c r="O40" i="2"/>
  <c r="Q39" i="2"/>
  <c r="O39" i="2"/>
  <c r="Q38" i="2"/>
  <c r="O38" i="2"/>
  <c r="Q37" i="2"/>
  <c r="O37" i="2"/>
  <c r="Q36" i="2"/>
  <c r="O36" i="2"/>
  <c r="Q35" i="2"/>
  <c r="O35" i="2"/>
  <c r="Q34" i="2"/>
  <c r="O34" i="2"/>
  <c r="Q33" i="2"/>
  <c r="O33" i="2"/>
  <c r="Q32" i="2"/>
  <c r="O32" i="2"/>
  <c r="S31" i="2"/>
  <c r="Q31" i="2"/>
  <c r="O31" i="2"/>
  <c r="S30" i="2"/>
  <c r="Q30" i="2" s="1"/>
  <c r="O30" i="2"/>
  <c r="S29" i="2"/>
  <c r="Q29" i="2"/>
  <c r="O29" i="2"/>
  <c r="Q28" i="2"/>
  <c r="O28" i="2"/>
  <c r="Q27" i="2"/>
  <c r="O27" i="2"/>
  <c r="S26" i="2"/>
  <c r="Q26" i="2"/>
  <c r="O26" i="2"/>
  <c r="Q25" i="2"/>
  <c r="O25" i="2"/>
  <c r="Q24" i="2"/>
  <c r="O24" i="2"/>
  <c r="Q23" i="2"/>
  <c r="O23" i="2"/>
  <c r="Q22" i="2"/>
  <c r="O22" i="2"/>
  <c r="Q21" i="2"/>
  <c r="O21" i="2"/>
  <c r="Q20" i="2"/>
  <c r="O20" i="2"/>
  <c r="S19" i="2"/>
  <c r="Q19" i="2"/>
  <c r="O19" i="2"/>
  <c r="Q18" i="2"/>
  <c r="O18" i="2"/>
  <c r="Q17" i="2"/>
  <c r="O17" i="2"/>
  <c r="Q16" i="2"/>
  <c r="O16" i="2"/>
  <c r="S15" i="2"/>
  <c r="Q15" i="2"/>
  <c r="O15" i="2"/>
  <c r="Q14" i="2"/>
  <c r="O14" i="2"/>
  <c r="Q13" i="2"/>
  <c r="O13" i="2"/>
  <c r="S12" i="2"/>
  <c r="Q12" i="2"/>
  <c r="O12" i="2"/>
  <c r="S11" i="2"/>
  <c r="Q11" i="2"/>
  <c r="O11" i="2"/>
  <c r="Q10" i="2"/>
  <c r="O10" i="2"/>
  <c r="Q9" i="2"/>
  <c r="O9" i="2"/>
  <c r="Q8" i="2"/>
  <c r="O8" i="2"/>
  <c r="S7" i="2"/>
  <c r="S70" i="2" s="1"/>
  <c r="Q7" i="2"/>
  <c r="O7" i="2"/>
  <c r="Q6" i="2"/>
  <c r="O6" i="2"/>
  <c r="Q5" i="2"/>
  <c r="O5" i="2"/>
  <c r="O70" i="2" s="1"/>
  <c r="Q4" i="2"/>
  <c r="O4" i="2"/>
  <c r="O1" i="2"/>
  <c r="R70" i="1"/>
  <c r="M70" i="1"/>
  <c r="K70" i="1"/>
  <c r="J70" i="1"/>
  <c r="I70" i="1"/>
  <c r="H70" i="1"/>
  <c r="G70" i="1"/>
  <c r="F70" i="1"/>
  <c r="E70" i="1"/>
  <c r="D70" i="1"/>
  <c r="C70" i="1"/>
  <c r="B70" i="1"/>
  <c r="Q69" i="1"/>
  <c r="O69" i="1"/>
  <c r="S68" i="1"/>
  <c r="Q68" i="1"/>
  <c r="O68" i="1"/>
  <c r="Q67" i="1"/>
  <c r="O67" i="1"/>
  <c r="Q66" i="1"/>
  <c r="O66" i="1"/>
  <c r="Q65" i="1"/>
  <c r="O65" i="1"/>
  <c r="Q64" i="1"/>
  <c r="O64" i="1"/>
  <c r="Q63" i="1"/>
  <c r="O63" i="1"/>
  <c r="Q62" i="1"/>
  <c r="O62" i="1"/>
  <c r="Q61" i="1"/>
  <c r="O61" i="1"/>
  <c r="Q60" i="1"/>
  <c r="O60" i="1"/>
  <c r="Q59" i="1"/>
  <c r="O59" i="1"/>
  <c r="Q58" i="1"/>
  <c r="O58" i="1"/>
  <c r="Q57" i="1"/>
  <c r="O57" i="1"/>
  <c r="Q56" i="1"/>
  <c r="O56" i="1"/>
  <c r="Q55" i="1"/>
  <c r="O55" i="1"/>
  <c r="Q54" i="1"/>
  <c r="O54" i="1"/>
  <c r="Q53" i="1"/>
  <c r="O53" i="1"/>
  <c r="Q52" i="1"/>
  <c r="O52" i="1"/>
  <c r="S51" i="1"/>
  <c r="Q51" i="1"/>
  <c r="O51" i="1"/>
  <c r="Q50" i="1"/>
  <c r="O50" i="1"/>
  <c r="Q49" i="1"/>
  <c r="O49" i="1"/>
  <c r="Q48" i="1"/>
  <c r="O48" i="1"/>
  <c r="Q47" i="1"/>
  <c r="O47" i="1"/>
  <c r="Q46" i="1"/>
  <c r="O46" i="1"/>
  <c r="Q45" i="1"/>
  <c r="O45" i="1"/>
  <c r="Q44" i="1"/>
  <c r="O44" i="1"/>
  <c r="Q43" i="1"/>
  <c r="O43" i="1"/>
  <c r="Q42" i="1"/>
  <c r="O42" i="1"/>
  <c r="Q41" i="1"/>
  <c r="O41" i="1"/>
  <c r="Q40" i="1"/>
  <c r="O40" i="1"/>
  <c r="Q39" i="1"/>
  <c r="O39" i="1"/>
  <c r="Q38" i="1"/>
  <c r="O38" i="1"/>
  <c r="Q37" i="1"/>
  <c r="O37" i="1"/>
  <c r="Q36" i="1"/>
  <c r="O36" i="1"/>
  <c r="Q35" i="1"/>
  <c r="O35" i="1"/>
  <c r="Q34" i="1"/>
  <c r="O34" i="1"/>
  <c r="Q33" i="1"/>
  <c r="O33" i="1"/>
  <c r="Q32" i="1"/>
  <c r="O32" i="1"/>
  <c r="S31" i="1"/>
  <c r="Q31" i="1"/>
  <c r="O31" i="1"/>
  <c r="S30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S12" i="1"/>
  <c r="Q12" i="1"/>
  <c r="O12" i="1"/>
  <c r="S11" i="1"/>
  <c r="S70" i="1" s="1"/>
  <c r="Q11" i="1"/>
  <c r="O11" i="1"/>
  <c r="Q10" i="1"/>
  <c r="O10" i="1"/>
  <c r="Q9" i="1"/>
  <c r="O9" i="1"/>
  <c r="Q8" i="1"/>
  <c r="O8" i="1"/>
  <c r="Q7" i="1"/>
  <c r="O7" i="1"/>
  <c r="Q6" i="1"/>
  <c r="O6" i="1"/>
  <c r="Q5" i="1"/>
  <c r="O5" i="1"/>
  <c r="Q4" i="1"/>
  <c r="Q70" i="1" s="1"/>
  <c r="O4" i="1"/>
  <c r="O70" i="1" s="1"/>
  <c r="O1" i="1"/>
  <c r="B70" i="7" l="1"/>
  <c r="Q4" i="6"/>
  <c r="Q25" i="6"/>
  <c r="Q38" i="6"/>
  <c r="O44" i="6"/>
  <c r="O50" i="6"/>
  <c r="Q56" i="6"/>
  <c r="Q32" i="6"/>
  <c r="O19" i="6"/>
  <c r="O6" i="6"/>
  <c r="O66" i="6"/>
  <c r="O45" i="6"/>
  <c r="Q27" i="6"/>
  <c r="O58" i="6"/>
  <c r="Q65" i="6"/>
  <c r="O14" i="6"/>
  <c r="O28" i="6"/>
  <c r="O46" i="6"/>
  <c r="Q34" i="6"/>
  <c r="Q52" i="6"/>
  <c r="O9" i="6"/>
  <c r="O15" i="6"/>
  <c r="O29" i="6"/>
  <c r="Q59" i="6"/>
  <c r="O49" i="6"/>
  <c r="Q12" i="6"/>
  <c r="O57" i="6"/>
  <c r="O33" i="6"/>
  <c r="O40" i="6"/>
  <c r="O5" i="6"/>
  <c r="O70" i="6" s="1"/>
  <c r="O13" i="6"/>
  <c r="Q20" i="6"/>
  <c r="O7" i="6"/>
  <c r="O21" i="6"/>
  <c r="M70" i="6"/>
  <c r="O39" i="6"/>
  <c r="O16" i="6"/>
  <c r="O26" i="6"/>
  <c r="M74" i="5"/>
  <c r="M74" i="4"/>
  <c r="Q70" i="3"/>
  <c r="M74" i="3"/>
  <c r="Q70" i="2"/>
  <c r="M74" i="2"/>
  <c r="M74" i="1"/>
  <c r="Q70" i="6" l="1"/>
  <c r="M74" i="6" s="1"/>
</calcChain>
</file>

<file path=xl/sharedStrings.xml><?xml version="1.0" encoding="utf-8"?>
<sst xmlns="http://schemas.openxmlformats.org/spreadsheetml/2006/main" count="633" uniqueCount="112">
  <si>
    <t>ΠΙΝΑΚΑΣ 1α: ΑΣΑ &amp; ΠΡΑΣΙΝΟ (kg) ΔΗΜΩΝ ΣΤΟΝ ΕΔΣΝΑ - συνολικές ποσότητες Ιούλιος</t>
  </si>
  <si>
    <t>Στοιχεία ΕΔΣΝΑ</t>
  </si>
  <si>
    <t>Στοιχεία ΕΕΑΑ</t>
  </si>
  <si>
    <t>Στοιχεία ΕΕΑΑ &amp; ΗΜΑ*</t>
  </si>
  <si>
    <t>Στοιχεία ΗΜΑ</t>
  </si>
  <si>
    <t>ΔΗΜΟΣ</t>
  </si>
  <si>
    <t>ΠΡΟΣ ΧΥΤΑ με ιδιόκτητα οχήματα Δήμων</t>
  </si>
  <si>
    <t xml:space="preserve">ΠΡΟΣ ΧΥΤΑ με οχήματα ιδιωτών </t>
  </si>
  <si>
    <t>ΠΡΟΣ ΧΥΤΑ ΑΠΟ ΤΣΜΑ με οχήματα ΕΔΣΝΑ</t>
  </si>
  <si>
    <t>ΠΡΟΣ ΣΜΑ</t>
  </si>
  <si>
    <t>ΠΡΟΣ ΕΜΑ ΑΠΟΡΡΙΜΜΑ-ΤΑ</t>
  </si>
  <si>
    <t>ΠΡΟΣ ΕΜΑ ΠΡΑΣΙΝΑ</t>
  </si>
  <si>
    <t>ΠΡΟΣ ΕΜΑ ΟΡΓΑΝΙΚΑ (ΚΑΦΕ ΚΑΔΟΣ)</t>
  </si>
  <si>
    <t>ΠΡΟΣ ΕΜΑ ΛΑΪΚΕΣ ΑΓΟΡΕΣ</t>
  </si>
  <si>
    <t>ΠΡΟΣ ΕΜΑ ΑΝΑΚΥ-ΚΛΩΣΗ (ΜΠΛΕ ΚΑΔΟΣ)</t>
  </si>
  <si>
    <t>ΠΡΟΓΡ. ΑΝΑΚΥΚΛ. ΧΑΡΤΙΟΥ</t>
  </si>
  <si>
    <t>ΠΡΟΣ ΧΥΤΑ ΑΠΟ ΚΔΑΥ</t>
  </si>
  <si>
    <t xml:space="preserve">ΣΥΝΟΛΟ  </t>
  </si>
  <si>
    <t xml:space="preserve">ΣΥΣΚΕΥΑΣΙΑ ΣΤΑ ΚΔΑΥ </t>
  </si>
  <si>
    <t>ΛΟΙΠΑ ΜΕΣΩ ΣΕΔ</t>
  </si>
  <si>
    <t>Πίνακας 5</t>
  </si>
  <si>
    <t>ΔΗΜΟΣ ΑΓ.ΒΑΡΒΑΡΑΣ</t>
  </si>
  <si>
    <t>ΔΗΜΟΣ ΑΓ.ΔΗΜΗΤΡΙΟΥ</t>
  </si>
  <si>
    <t>ΔΗΜΟΣ ΑΓ.ΠΑΡΑΣΚΕΥΗΣ</t>
  </si>
  <si>
    <t>ΔΗΜΟΣ ΑΓΙΩΝ ΑΝΑΡΓΥΡΩΝ - ΚΑΜΑΤΕΡΟΥ</t>
  </si>
  <si>
    <t>ΔΗΜΟΣ ΑΓΚΙΣΤΡΙΟΥ</t>
  </si>
  <si>
    <t>ΔΗΜΟΣ ΑΘΗΝΑΙΩΝ</t>
  </si>
  <si>
    <t>ΔΗΜΟΣ ΑΙΓΑΛΕΩ</t>
  </si>
  <si>
    <t>ΔΗΜΟΣ ΑΙΓΙΝΑΣ</t>
  </si>
  <si>
    <t>ΔΗΜΟΣ ΑΛΙΜΟΥ</t>
  </si>
  <si>
    <t>ΔΗΜΟΣ ΑΜΑΡΟΥΣΙΟΥ</t>
  </si>
  <si>
    <t>ΔΗΜΟΣ ΑΣΠΡΟΠΥΡΓΟΥ</t>
  </si>
  <si>
    <t>ΔΗΜΟΣ ΑΧΑΡΝΩΝ</t>
  </si>
  <si>
    <t>ΔΗΜΟΣ ΒΑΡΗΣ - ΒΟΥΛΑΣ - ΒΟΥΛΙΑΓΜΕΝΗΣ</t>
  </si>
  <si>
    <t>ΔΗΜΟΣ ΒΡΙΛΗΣΣΙΩΝ</t>
  </si>
  <si>
    <t>ΔΗΜΟΣ ΒΥΡΩΝΑ</t>
  </si>
  <si>
    <t>ΔΗΜΟΣ ΓΑΛΑΤΣΙΟΥ</t>
  </si>
  <si>
    <t>ΔΗΜΟΣ ΓΛΥΦΑΔΑΣ</t>
  </si>
  <si>
    <t>ΔΗΜΟΣ ΔΑΦΝΗΣ - ΥΜΗΤΤΟΥ</t>
  </si>
  <si>
    <t>ΔΗΜΟΣ ΔΙΟΝΥΣΟΥ</t>
  </si>
  <si>
    <t>ΔΗΜΟΣ ΕΛΕΥΣΙΝΑΣ</t>
  </si>
  <si>
    <t>ΔΗΜΟΣ ΕΛΛΗΝΙΚΟΥ - ΑΡΓΥΡΟΥΠΟΛΗΣ</t>
  </si>
  <si>
    <t>ΔΗΜΟΣ ΖΩΓΡΑΦΟΥ</t>
  </si>
  <si>
    <t>ΔΗΜΟΣ ΗΛΙΟΥΠΟΛΗΣ</t>
  </si>
  <si>
    <t>ΔΗΜΟΣ ΗΡΑΚΛΕΙΟΥ</t>
  </si>
  <si>
    <t>ΔΗΜΟΣ ΙΛΙΟΥ</t>
  </si>
  <si>
    <t>ΔΗΜΟΣ ΚΑΙΣΑΡΙΑΝΗΣ</t>
  </si>
  <si>
    <t>ΔΗΜΟΣ ΚΑΛΛΙΘΕΑΣ</t>
  </si>
  <si>
    <t>ΔΗΜΟΣ ΚΕΡΑΤΣΙΝΙΟΥ - ΔΡΑΠΕΤΣΩΝΑΣ</t>
  </si>
  <si>
    <t>ΔΗΜΟΣ ΚΗΦΙΣΙΑΣ</t>
  </si>
  <si>
    <t>ΔΗΜΟΣ ΚΟΡΥΔΑΛΛΟΥ</t>
  </si>
  <si>
    <t>ΔΗΜΟΣ ΚΡΩΠΙΑΣ</t>
  </si>
  <si>
    <t>ΔΗΜΟΣ ΚΥΘΗΡΩΝ</t>
  </si>
  <si>
    <t>ΔΗΜΟΣ ΛΑΥΡΕΩΤΙΚΗΣ</t>
  </si>
  <si>
    <t>ΔΗΜΟΣ ΛΥΚΟΒΡΥΣΗΣ - ΠΕΥΚΗΣ</t>
  </si>
  <si>
    <t>ΔΗΜΟΣ ΜΑΝΔΡΑΣ - ΕΙΔΥΛΛΙΑΣ</t>
  </si>
  <si>
    <t>ΔΗΜΟΣ ΜΑΡΑΘΩΝΑ</t>
  </si>
  <si>
    <t>ΔΗΜΟΣ ΜΑΡΚΟΠΟΥΛΟΥ ΜΕΣΟΓΑΙΑΣ</t>
  </si>
  <si>
    <t>ΔΗΜΟΣ ΜΕΓΑΡΕΩΝ</t>
  </si>
  <si>
    <t>ΔΗΜΟΣ ΜΕΤΑΜΟΡΦΩΣΗΣ</t>
  </si>
  <si>
    <t>ΔΗΜΟΣ ΜΟΣΧΑΤΟΥ - ΤΑΥΡΟΥ</t>
  </si>
  <si>
    <t>ΔΗΜΟΣ Ν. ΙΩΝΙΑΣ</t>
  </si>
  <si>
    <t>ΔΗΜΟΣ Ν.ΣΜΥΡΝΗΣ</t>
  </si>
  <si>
    <t>ΔΗΜΟΣ ΝΙΚΑΙΑΣ - ΑΓ. Ι. ΡΕΝΤΗ</t>
  </si>
  <si>
    <t>ΔΗΜΟΣ Π. ΦΑΛΗΡΟΥ</t>
  </si>
  <si>
    <t>ΔΗΜΟΣ ΠΑΙΑΝΙΑΣ</t>
  </si>
  <si>
    <t>ΔΗΜΟΣ ΠΑΛΛΗΝΗΣ</t>
  </si>
  <si>
    <t>ΔΗΜΟΣ ΠΑΠΑΓΟΥ - ΧΟΛΑΡΓΟΥ</t>
  </si>
  <si>
    <t>ΔΗΜΟΣ ΠΕΙΡΑΙΑ</t>
  </si>
  <si>
    <t>ΔΗΜΟΣ ΠΕΝΤΕΛΗΣ</t>
  </si>
  <si>
    <t>ΔΗΜΟΣ ΠΕΡΑΜΑΤΟΣ</t>
  </si>
  <si>
    <t>ΔΗΜΟΣ ΠΕΡΙΣΤΕΡΙΟΥ</t>
  </si>
  <si>
    <t>ΔΗΜΟΣ ΠΕΤΡΟΥΠΟΛΗΣ</t>
  </si>
  <si>
    <t>ΔΗΜΟΣ ΠΟΡΟΥ</t>
  </si>
  <si>
    <t>ΔΗΜΟΣ ΡΑΦΗΝΑΣ - ΠΙΚΕΡΜΙΟΥ</t>
  </si>
  <si>
    <t>ΔΗΜΟΣ ΣΑΛΑΜΙΝΑΣ</t>
  </si>
  <si>
    <t>ΔΗΜΟΣ ΣΑΡΩΝΙΚΟΥ</t>
  </si>
  <si>
    <t>ΔΗΜΟΣ ΣΠΑΤΩΝ - ΑΡΤΕΜΙΔΟΣ</t>
  </si>
  <si>
    <t>ΔΗΜΟΣ ΣΠΕΤΣΩΝ</t>
  </si>
  <si>
    <t>ΔΗΜΟΣ ΤΡΟΙΖΗΝΙΑΣ</t>
  </si>
  <si>
    <t>ΔΗΜΟΣ ΥΔΡΑΣ</t>
  </si>
  <si>
    <t>ΔΗΜΟΣ ΦΙΛΑΔΕΛΦΕΙΑΣ - ΧΑΛΚΗΔΟΝΑΣ</t>
  </si>
  <si>
    <t>ΔΗΜΟΣ ΦΙΛΟΘΕΗΣ - ΨΥΧΙΚΟΥ</t>
  </si>
  <si>
    <t>ΔΗΜΟΣ ΦΥΛΗΣ</t>
  </si>
  <si>
    <t>ΔΗΜΟΣ ΧΑΙΔΑΡΙΟΥ</t>
  </si>
  <si>
    <t>ΔΗΜΟΣ ΧΑΛΑΝΔΡΙΟΥ</t>
  </si>
  <si>
    <t>ΔΗΜΟΣ ΩΡΩΠΟΥ</t>
  </si>
  <si>
    <t>Γενικά Σύνολα Δήμων Περιφέρειας  Αττικής</t>
  </si>
  <si>
    <t>* Η συσκευασία στα ΚΔΑΥ προκύπτει αν αφαιρέσουμε το υπόλειμμα που μας δίνει η ΕΕΑΑ από το αρχικό περιεχόμενο. Σε ότι αφορά τον Δήμο Ωρωπού η ποσότητα συσκευασίας αντλήθηκε από το ΗΜΑ, καθώς διοχετεύθηκε σε ΚΔΑΥ που δεν είναι συμβεβλημένο με την ΕΕΑΑ.</t>
  </si>
  <si>
    <t>ΠΙΝΑΚΑΣ 1α: ΑΣΑ &amp; ΠΡΑΣΙΝΟ (kg) ΔΗΜΩΝ ΣΤΟΝ ΕΔΣΝΑ - συνολικές ποσότητες Αυγουστος</t>
  </si>
  <si>
    <t>ΠΙΝΑΚΑΣ 1α: ΑΣΑ &amp; ΠΡΑΣΙΝΟ (kg) ΔΗΜΩΝ ΣΤΟΝ ΕΔΣΝΑ - συνολικές ποσότητες Σεπτέμβριος</t>
  </si>
  <si>
    <t>ΠΙΝΑΚΑΣ 1α: ΑΣΑ &amp; ΠΡΑΣΙΝΟ (kg) ΔΗΜΩΝ ΣΤΟΝ ΕΔΣΝΑ - συνολικές ποσότητες Οκτώβριος</t>
  </si>
  <si>
    <t>ΠΙΝΑΚΑΣ 1α: ΑΣΑ &amp; ΠΡΑΣΙΝΟ (kg) ΔΗΜΩΝ ΣΤΟΝ ΕΔΣΝΑ - συνολικές ποσότητες Νοέμβριος</t>
  </si>
  <si>
    <t>ΠΙΝΑΚΑΣ 1α: ΑΣΑ &amp; ΠΡΑΣΙΝΟ (kg) ΔΗΜΩΝ ΣΤΟΝ ΕΔΣΝΑ - συνολικές ποσότητες Δεκέμβριος</t>
  </si>
  <si>
    <t>ΠΙΝΑΚΑΣ 1α: ΑΣΑ &amp; ΠΡΑΣΙΝΟ (kg) ΔΗΜΩΝ ΣΤΟΝ ΕΔΣΝΑ - Συνολικές Ποσότητες - Β' Εξάμηνο</t>
  </si>
  <si>
    <t>ΠΡΟΣ ΧΥΤΑ με ιδιόκτητα οχήματα Δήμων και ιδΙωτών, ΠΡΟΣ ΤΣΜΑ με οχήματα ΕΔΣΝΑ, ΠΡΟΣ ΣΜΑ , ΠΡΟΣ ΧΥΤΑ από ΚΔΑΥ</t>
  </si>
  <si>
    <t>ΠΡΟΣ ΕΜΑ ΑΠΟΡΡΙΜΜΑΤΑ ΚΑΙ ΑΝΑΚΥΚΛΩΣΗ ΜΠΛΕ ΚΑΔΟΣ</t>
  </si>
  <si>
    <t>ΑΣΑ ΔΗΜΩΝ</t>
  </si>
  <si>
    <t>απομείωση EMAK</t>
  </si>
  <si>
    <t>ΑΣΑ ΔΗΜΩΝ ΜΕΤΑ ΑΠΌ ΑΠΟΜΕΙΩΣΗ</t>
  </si>
  <si>
    <t>ΠΡΟΣ ΕΜΑ ΟΡΓΑΝΙΚΑ ΚΑΦΕ ΚΑΔΟΣ, ΠΡΟΣ ΕΜΑ ΛΑΙΚΕΣ</t>
  </si>
  <si>
    <t>ΑΝΑΛΟΓΙΑ ΥΠΟΛΛΕΙΜΜΑΤΟΣ  ΕΜΑ ΟΡΓΑΝΙΚΑ ΚΑΦΕ ΚΑΔΟΣ, ΠΡΟΣ ΕΜΑ ΛΑΙΚΕΣ</t>
  </si>
  <si>
    <t>ΥΠΟΛΛΕΙΜΑ ΠΡΑΣΙΝΑ</t>
  </si>
  <si>
    <t>υπολείμματα</t>
  </si>
  <si>
    <t>ΥΠΟΛΟΓΙΣΜΟΣ ΠΟΣΟΥ 25€ Ο ΤΟΝΟΣ</t>
  </si>
  <si>
    <t>ΠΡΟΣ ΧΥΤΑ ΑΠΟ ΚΔΑΥ(μετα την απομείωση του εξευγενισμού)</t>
  </si>
  <si>
    <t>τελικο ποσο τελους ταφης €</t>
  </si>
  <si>
    <t>ΑΠΟΜΕΙΩΣΗ ΕΜΑΚ σε kg</t>
  </si>
  <si>
    <t>συνολο προς ταφη(kg)</t>
  </si>
  <si>
    <t>συνολο προς ταφη(tn)</t>
  </si>
  <si>
    <t>ποσο πληρωμής</t>
  </si>
  <si>
    <t>ΑΝΑΛΥΣΗ ΔΕΔΟΜΕΝΩΝ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</si>
</sst>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mmmm\ d&quot;, &quot;yyyy"/>
  </numFmts>
  <fonts count="15" x14ac:knownFonts="1">
    <font>
      <sz val="10"/>
      <color indexed="8"/>
      <name val="Arial"/>
    </font>
    <font>
      <sz val="14"/>
      <color indexed="8"/>
      <name val="Arial"/>
      <family val="2"/>
    </font>
    <font>
      <b/>
      <sz val="11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2"/>
      <color indexed="8"/>
      <name val="Calibri"/>
      <family val="2"/>
    </font>
    <font>
      <sz val="10"/>
      <name val="Arial"/>
      <family val="2"/>
    </font>
    <font>
      <b/>
      <sz val="10"/>
      <color indexed="8"/>
      <name val="Arial"/>
      <family val="2"/>
      <charset val="161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161"/>
    </font>
    <font>
      <b/>
      <sz val="16"/>
      <color indexed="8"/>
      <name val="Arial"/>
      <family val="2"/>
      <charset val="161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</borders>
  <cellStyleXfs count="1">
    <xf numFmtId="0" fontId="0" fillId="0" borderId="0">
      <alignment vertical="top"/>
    </xf>
  </cellStyleXfs>
  <cellXfs count="102">
    <xf numFmtId="0" fontId="0" fillId="0" borderId="0" xfId="0">
      <alignment vertical="top"/>
    </xf>
    <xf numFmtId="0" fontId="0" fillId="0" borderId="0" xfId="0" applyAlignment="1" applyProtection="1">
      <alignment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3" fontId="0" fillId="0" borderId="8" xfId="0" applyNumberFormat="1" applyBorder="1">
      <alignment vertical="top"/>
    </xf>
    <xf numFmtId="3" fontId="3" fillId="0" borderId="8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 wrapText="1"/>
    </xf>
    <xf numFmtId="3" fontId="10" fillId="0" borderId="8" xfId="0" applyNumberFormat="1" applyFont="1" applyBorder="1" applyAlignment="1">
      <alignment vertical="center" wrapText="1"/>
    </xf>
    <xf numFmtId="3" fontId="0" fillId="0" borderId="8" xfId="0" applyNumberFormat="1" applyBorder="1" applyAlignment="1" applyProtection="1">
      <alignment vertical="center" wrapText="1"/>
      <protection locked="0"/>
    </xf>
    <xf numFmtId="3" fontId="11" fillId="0" borderId="8" xfId="0" applyNumberFormat="1" applyFont="1" applyBorder="1" applyAlignment="1">
      <alignment vertical="center" wrapText="1"/>
    </xf>
    <xf numFmtId="4" fontId="3" fillId="4" borderId="8" xfId="0" applyNumberFormat="1" applyFont="1" applyFill="1" applyBorder="1" applyAlignment="1">
      <alignment vertical="center" wrapText="1"/>
    </xf>
    <xf numFmtId="3" fontId="12" fillId="0" borderId="8" xfId="0" applyNumberFormat="1" applyFont="1" applyBorder="1" applyAlignment="1">
      <alignment horizontal="right"/>
    </xf>
    <xf numFmtId="3" fontId="0" fillId="0" borderId="1" xfId="0" applyNumberFormat="1" applyBorder="1" applyAlignment="1" applyProtection="1">
      <alignment vertical="center" wrapText="1"/>
      <protection locked="0"/>
    </xf>
    <xf numFmtId="3" fontId="0" fillId="0" borderId="12" xfId="0" applyNumberFormat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vertical="center" wrapText="1"/>
    </xf>
    <xf numFmtId="3" fontId="0" fillId="0" borderId="0" xfId="0" applyNumberFormat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11" fillId="5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3" fontId="0" fillId="6" borderId="0" xfId="0" applyNumberForma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3" fontId="11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 applyProtection="1">
      <alignment vertical="center" wrapText="1"/>
      <protection locked="0"/>
    </xf>
    <xf numFmtId="3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3" fontId="3" fillId="4" borderId="8" xfId="0" applyNumberFormat="1" applyFont="1" applyFill="1" applyBorder="1" applyAlignment="1">
      <alignment vertical="center" wrapText="1"/>
    </xf>
    <xf numFmtId="3" fontId="10" fillId="0" borderId="0" xfId="0" applyNumberFormat="1" applyFont="1" applyAlignment="1" applyProtection="1">
      <alignment vertical="center" wrapText="1"/>
      <protection locked="0"/>
    </xf>
    <xf numFmtId="3" fontId="3" fillId="0" borderId="6" xfId="0" applyNumberFormat="1" applyFont="1" applyBorder="1" applyAlignment="1">
      <alignment vertical="center" wrapText="1"/>
    </xf>
    <xf numFmtId="3" fontId="11" fillId="0" borderId="13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horizontal="right"/>
    </xf>
    <xf numFmtId="0" fontId="0" fillId="7" borderId="0" xfId="0" applyFill="1" applyAlignment="1" applyProtection="1">
      <alignment vertical="center" wrapText="1"/>
      <protection locked="0"/>
    </xf>
    <xf numFmtId="0" fontId="3" fillId="0" borderId="13" xfId="0" applyFont="1" applyBorder="1" applyAlignment="1">
      <alignment vertical="center" wrapText="1"/>
    </xf>
    <xf numFmtId="3" fontId="5" fillId="5" borderId="1" xfId="0" applyNumberFormat="1" applyFont="1" applyFill="1" applyBorder="1" applyAlignment="1" applyProtection="1">
      <alignment vertical="center" wrapText="1"/>
      <protection locked="0"/>
    </xf>
    <xf numFmtId="3" fontId="0" fillId="6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3" fontId="11" fillId="5" borderId="8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 applyProtection="1">
      <alignment vertical="center" wrapText="1"/>
      <protection locked="0"/>
    </xf>
    <xf numFmtId="0" fontId="0" fillId="8" borderId="0" xfId="0" applyFill="1" applyAlignment="1" applyProtection="1">
      <alignment vertical="center" wrapText="1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3" fontId="0" fillId="8" borderId="0" xfId="0" applyNumberFormat="1" applyFill="1" applyAlignment="1" applyProtection="1">
      <alignment vertical="center" wrapText="1"/>
      <protection locked="0"/>
    </xf>
    <xf numFmtId="4" fontId="0" fillId="8" borderId="0" xfId="0" applyNumberFormat="1" applyFill="1" applyAlignment="1" applyProtection="1">
      <alignment vertical="center" wrapText="1"/>
      <protection locked="0"/>
    </xf>
    <xf numFmtId="4" fontId="0" fillId="0" borderId="0" xfId="0" applyNumberFormat="1" applyAlignment="1" applyProtection="1">
      <alignment vertical="center" wrapText="1"/>
      <protection locked="0"/>
    </xf>
    <xf numFmtId="3" fontId="0" fillId="0" borderId="0" xfId="0" applyNumberFormat="1" applyAlignment="1">
      <alignment vertical="center" wrapText="1"/>
    </xf>
    <xf numFmtId="3" fontId="0" fillId="10" borderId="0" xfId="0" applyNumberForma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3" fontId="0" fillId="11" borderId="0" xfId="0" applyNumberFormat="1" applyFill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3" fontId="11" fillId="2" borderId="10" xfId="0" applyNumberFormat="1" applyFont="1" applyFill="1" applyBorder="1" applyAlignment="1">
      <alignment horizontal="center" vertical="center" wrapText="1"/>
    </xf>
    <xf numFmtId="3" fontId="11" fillId="2" borderId="17" xfId="0" applyNumberFormat="1" applyFont="1" applyFill="1" applyBorder="1" applyAlignment="1">
      <alignment horizontal="center" vertical="center" wrapText="1"/>
    </xf>
    <xf numFmtId="3" fontId="11" fillId="2" borderId="18" xfId="0" applyNumberFormat="1" applyFont="1" applyFill="1" applyBorder="1" applyAlignment="1">
      <alignment horizontal="center" vertical="center" wrapText="1"/>
    </xf>
    <xf numFmtId="3" fontId="11" fillId="5" borderId="18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  <protection locked="0"/>
    </xf>
    <xf numFmtId="3" fontId="1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3" fontId="9" fillId="12" borderId="0" xfId="0" applyNumberFormat="1" applyFont="1" applyFill="1" applyAlignment="1">
      <alignment horizontal="right" vertical="center" wrapText="1"/>
    </xf>
    <xf numFmtId="3" fontId="3" fillId="12" borderId="8" xfId="0" applyNumberFormat="1" applyFont="1" applyFill="1" applyBorder="1" applyAlignment="1">
      <alignment vertical="center" wrapText="1"/>
    </xf>
    <xf numFmtId="3" fontId="11" fillId="12" borderId="8" xfId="0" applyNumberFormat="1" applyFont="1" applyFill="1" applyBorder="1" applyAlignment="1">
      <alignment vertical="center" wrapText="1"/>
    </xf>
    <xf numFmtId="0" fontId="3" fillId="12" borderId="8" xfId="0" applyFont="1" applyFill="1" applyBorder="1" applyAlignment="1">
      <alignment vertical="center" wrapText="1"/>
    </xf>
    <xf numFmtId="0" fontId="3" fillId="12" borderId="0" xfId="0" applyFont="1" applyFill="1" applyAlignment="1">
      <alignment horizontal="center" vertical="center" wrapText="1"/>
    </xf>
    <xf numFmtId="0" fontId="0" fillId="13" borderId="0" xfId="0" applyFill="1" applyAlignment="1" applyProtection="1">
      <alignment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4" fillId="13" borderId="1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C886-7F21-4119-8ADF-C6FB157B2311}">
  <sheetPr codeName="Sheet8"/>
  <dimension ref="A1:W74"/>
  <sheetViews>
    <sheetView workbookViewId="0">
      <pane xSplit="1" ySplit="3" topLeftCell="G4" activePane="bottomRight" state="frozen"/>
      <selection activeCell="R70" sqref="R70"/>
      <selection pane="topRight" activeCell="R70" sqref="R70"/>
      <selection pane="bottomLeft" activeCell="R70" sqref="R70"/>
      <selection pane="bottomRight" activeCell="R70" sqref="R70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5" width="11.42578125" style="1" customWidth="1"/>
    <col min="6" max="6" width="13.140625" style="1" customWidth="1"/>
    <col min="7" max="7" width="11.140625" style="51" customWidth="1"/>
    <col min="8" max="8" width="10.7109375" style="1" customWidth="1"/>
    <col min="9" max="9" width="9" style="1" customWidth="1"/>
    <col min="10" max="10" width="9.140625" style="1" customWidth="1"/>
    <col min="11" max="11" width="10" style="1" customWidth="1"/>
    <col min="12" max="12" width="1.7109375" style="1" customWidth="1"/>
    <col min="13" max="13" width="12.42578125" style="53" customWidth="1"/>
    <col min="14" max="14" width="2" style="1" customWidth="1"/>
    <col min="15" max="15" width="13.85546875" style="1" customWidth="1"/>
    <col min="16" max="16" width="3.85546875" style="1" customWidth="1"/>
    <col min="17" max="17" width="13.5703125" style="53" bestFit="1" customWidth="1"/>
    <col min="18" max="18" width="12.5703125" style="1" customWidth="1"/>
    <col min="19" max="19" width="12.7109375" style="1" bestFit="1" customWidth="1"/>
    <col min="20" max="22" width="6.85546875" style="1"/>
    <col min="23" max="23" width="10.140625" style="1" bestFit="1" customWidth="1"/>
    <col min="24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1" width="11.42578125" style="1" customWidth="1"/>
    <col min="262" max="262" width="13.140625" style="1" customWidth="1"/>
    <col min="263" max="263" width="11.140625" style="1" customWidth="1"/>
    <col min="264" max="264" width="10.7109375" style="1" customWidth="1"/>
    <col min="265" max="265" width="9" style="1" customWidth="1"/>
    <col min="266" max="266" width="9.140625" style="1" customWidth="1"/>
    <col min="267" max="267" width="10" style="1" customWidth="1"/>
    <col min="268" max="268" width="1.7109375" style="1" customWidth="1"/>
    <col min="269" max="269" width="12.42578125" style="1" customWidth="1"/>
    <col min="270" max="270" width="2" style="1" customWidth="1"/>
    <col min="271" max="271" width="13.85546875" style="1" customWidth="1"/>
    <col min="272" max="272" width="3.85546875" style="1" customWidth="1"/>
    <col min="273" max="273" width="13.5703125" style="1" bestFit="1" customWidth="1"/>
    <col min="274" max="274" width="12.5703125" style="1" customWidth="1"/>
    <col min="275" max="275" width="12.7109375" style="1" bestFit="1" customWidth="1"/>
    <col min="276" max="278" width="6.85546875" style="1"/>
    <col min="279" max="279" width="10.140625" style="1" bestFit="1" customWidth="1"/>
    <col min="280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7" width="11.42578125" style="1" customWidth="1"/>
    <col min="518" max="518" width="13.140625" style="1" customWidth="1"/>
    <col min="519" max="519" width="11.140625" style="1" customWidth="1"/>
    <col min="520" max="520" width="10.7109375" style="1" customWidth="1"/>
    <col min="521" max="521" width="9" style="1" customWidth="1"/>
    <col min="522" max="522" width="9.140625" style="1" customWidth="1"/>
    <col min="523" max="523" width="10" style="1" customWidth="1"/>
    <col min="524" max="524" width="1.7109375" style="1" customWidth="1"/>
    <col min="525" max="525" width="12.42578125" style="1" customWidth="1"/>
    <col min="526" max="526" width="2" style="1" customWidth="1"/>
    <col min="527" max="527" width="13.85546875" style="1" customWidth="1"/>
    <col min="528" max="528" width="3.85546875" style="1" customWidth="1"/>
    <col min="529" max="529" width="13.5703125" style="1" bestFit="1" customWidth="1"/>
    <col min="530" max="530" width="12.5703125" style="1" customWidth="1"/>
    <col min="531" max="531" width="12.7109375" style="1" bestFit="1" customWidth="1"/>
    <col min="532" max="534" width="6.85546875" style="1"/>
    <col min="535" max="535" width="10.140625" style="1" bestFit="1" customWidth="1"/>
    <col min="536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3" width="11.42578125" style="1" customWidth="1"/>
    <col min="774" max="774" width="13.140625" style="1" customWidth="1"/>
    <col min="775" max="775" width="11.140625" style="1" customWidth="1"/>
    <col min="776" max="776" width="10.7109375" style="1" customWidth="1"/>
    <col min="777" max="777" width="9" style="1" customWidth="1"/>
    <col min="778" max="778" width="9.140625" style="1" customWidth="1"/>
    <col min="779" max="779" width="10" style="1" customWidth="1"/>
    <col min="780" max="780" width="1.7109375" style="1" customWidth="1"/>
    <col min="781" max="781" width="12.42578125" style="1" customWidth="1"/>
    <col min="782" max="782" width="2" style="1" customWidth="1"/>
    <col min="783" max="783" width="13.85546875" style="1" customWidth="1"/>
    <col min="784" max="784" width="3.85546875" style="1" customWidth="1"/>
    <col min="785" max="785" width="13.5703125" style="1" bestFit="1" customWidth="1"/>
    <col min="786" max="786" width="12.5703125" style="1" customWidth="1"/>
    <col min="787" max="787" width="12.7109375" style="1" bestFit="1" customWidth="1"/>
    <col min="788" max="790" width="6.85546875" style="1"/>
    <col min="791" max="791" width="10.140625" style="1" bestFit="1" customWidth="1"/>
    <col min="792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29" width="11.42578125" style="1" customWidth="1"/>
    <col min="1030" max="1030" width="13.140625" style="1" customWidth="1"/>
    <col min="1031" max="1031" width="11.140625" style="1" customWidth="1"/>
    <col min="1032" max="1032" width="10.7109375" style="1" customWidth="1"/>
    <col min="1033" max="1033" width="9" style="1" customWidth="1"/>
    <col min="1034" max="1034" width="9.140625" style="1" customWidth="1"/>
    <col min="1035" max="1035" width="10" style="1" customWidth="1"/>
    <col min="1036" max="1036" width="1.7109375" style="1" customWidth="1"/>
    <col min="1037" max="1037" width="12.42578125" style="1" customWidth="1"/>
    <col min="1038" max="1038" width="2" style="1" customWidth="1"/>
    <col min="1039" max="1039" width="13.85546875" style="1" customWidth="1"/>
    <col min="1040" max="1040" width="3.85546875" style="1" customWidth="1"/>
    <col min="1041" max="1041" width="13.5703125" style="1" bestFit="1" customWidth="1"/>
    <col min="1042" max="1042" width="12.5703125" style="1" customWidth="1"/>
    <col min="1043" max="1043" width="12.7109375" style="1" bestFit="1" customWidth="1"/>
    <col min="1044" max="1046" width="6.85546875" style="1"/>
    <col min="1047" max="1047" width="10.140625" style="1" bestFit="1" customWidth="1"/>
    <col min="1048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5" width="11.42578125" style="1" customWidth="1"/>
    <col min="1286" max="1286" width="13.140625" style="1" customWidth="1"/>
    <col min="1287" max="1287" width="11.140625" style="1" customWidth="1"/>
    <col min="1288" max="1288" width="10.7109375" style="1" customWidth="1"/>
    <col min="1289" max="1289" width="9" style="1" customWidth="1"/>
    <col min="1290" max="1290" width="9.140625" style="1" customWidth="1"/>
    <col min="1291" max="1291" width="10" style="1" customWidth="1"/>
    <col min="1292" max="1292" width="1.7109375" style="1" customWidth="1"/>
    <col min="1293" max="1293" width="12.42578125" style="1" customWidth="1"/>
    <col min="1294" max="1294" width="2" style="1" customWidth="1"/>
    <col min="1295" max="1295" width="13.85546875" style="1" customWidth="1"/>
    <col min="1296" max="1296" width="3.85546875" style="1" customWidth="1"/>
    <col min="1297" max="1297" width="13.5703125" style="1" bestFit="1" customWidth="1"/>
    <col min="1298" max="1298" width="12.5703125" style="1" customWidth="1"/>
    <col min="1299" max="1299" width="12.7109375" style="1" bestFit="1" customWidth="1"/>
    <col min="1300" max="1302" width="6.85546875" style="1"/>
    <col min="1303" max="1303" width="10.140625" style="1" bestFit="1" customWidth="1"/>
    <col min="1304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1" width="11.42578125" style="1" customWidth="1"/>
    <col min="1542" max="1542" width="13.140625" style="1" customWidth="1"/>
    <col min="1543" max="1543" width="11.140625" style="1" customWidth="1"/>
    <col min="1544" max="1544" width="10.7109375" style="1" customWidth="1"/>
    <col min="1545" max="1545" width="9" style="1" customWidth="1"/>
    <col min="1546" max="1546" width="9.140625" style="1" customWidth="1"/>
    <col min="1547" max="1547" width="10" style="1" customWidth="1"/>
    <col min="1548" max="1548" width="1.7109375" style="1" customWidth="1"/>
    <col min="1549" max="1549" width="12.42578125" style="1" customWidth="1"/>
    <col min="1550" max="1550" width="2" style="1" customWidth="1"/>
    <col min="1551" max="1551" width="13.85546875" style="1" customWidth="1"/>
    <col min="1552" max="1552" width="3.85546875" style="1" customWidth="1"/>
    <col min="1553" max="1553" width="13.5703125" style="1" bestFit="1" customWidth="1"/>
    <col min="1554" max="1554" width="12.5703125" style="1" customWidth="1"/>
    <col min="1555" max="1555" width="12.7109375" style="1" bestFit="1" customWidth="1"/>
    <col min="1556" max="1558" width="6.85546875" style="1"/>
    <col min="1559" max="1559" width="10.140625" style="1" bestFit="1" customWidth="1"/>
    <col min="1560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7" width="11.42578125" style="1" customWidth="1"/>
    <col min="1798" max="1798" width="13.140625" style="1" customWidth="1"/>
    <col min="1799" max="1799" width="11.140625" style="1" customWidth="1"/>
    <col min="1800" max="1800" width="10.7109375" style="1" customWidth="1"/>
    <col min="1801" max="1801" width="9" style="1" customWidth="1"/>
    <col min="1802" max="1802" width="9.140625" style="1" customWidth="1"/>
    <col min="1803" max="1803" width="10" style="1" customWidth="1"/>
    <col min="1804" max="1804" width="1.7109375" style="1" customWidth="1"/>
    <col min="1805" max="1805" width="12.42578125" style="1" customWidth="1"/>
    <col min="1806" max="1806" width="2" style="1" customWidth="1"/>
    <col min="1807" max="1807" width="13.85546875" style="1" customWidth="1"/>
    <col min="1808" max="1808" width="3.85546875" style="1" customWidth="1"/>
    <col min="1809" max="1809" width="13.5703125" style="1" bestFit="1" customWidth="1"/>
    <col min="1810" max="1810" width="12.5703125" style="1" customWidth="1"/>
    <col min="1811" max="1811" width="12.7109375" style="1" bestFit="1" customWidth="1"/>
    <col min="1812" max="1814" width="6.85546875" style="1"/>
    <col min="1815" max="1815" width="10.140625" style="1" bestFit="1" customWidth="1"/>
    <col min="1816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3" width="11.42578125" style="1" customWidth="1"/>
    <col min="2054" max="2054" width="13.140625" style="1" customWidth="1"/>
    <col min="2055" max="2055" width="11.140625" style="1" customWidth="1"/>
    <col min="2056" max="2056" width="10.7109375" style="1" customWidth="1"/>
    <col min="2057" max="2057" width="9" style="1" customWidth="1"/>
    <col min="2058" max="2058" width="9.140625" style="1" customWidth="1"/>
    <col min="2059" max="2059" width="10" style="1" customWidth="1"/>
    <col min="2060" max="2060" width="1.7109375" style="1" customWidth="1"/>
    <col min="2061" max="2061" width="12.42578125" style="1" customWidth="1"/>
    <col min="2062" max="2062" width="2" style="1" customWidth="1"/>
    <col min="2063" max="2063" width="13.85546875" style="1" customWidth="1"/>
    <col min="2064" max="2064" width="3.85546875" style="1" customWidth="1"/>
    <col min="2065" max="2065" width="13.5703125" style="1" bestFit="1" customWidth="1"/>
    <col min="2066" max="2066" width="12.5703125" style="1" customWidth="1"/>
    <col min="2067" max="2067" width="12.7109375" style="1" bestFit="1" customWidth="1"/>
    <col min="2068" max="2070" width="6.85546875" style="1"/>
    <col min="2071" max="2071" width="10.140625" style="1" bestFit="1" customWidth="1"/>
    <col min="2072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09" width="11.42578125" style="1" customWidth="1"/>
    <col min="2310" max="2310" width="13.140625" style="1" customWidth="1"/>
    <col min="2311" max="2311" width="11.140625" style="1" customWidth="1"/>
    <col min="2312" max="2312" width="10.7109375" style="1" customWidth="1"/>
    <col min="2313" max="2313" width="9" style="1" customWidth="1"/>
    <col min="2314" max="2314" width="9.140625" style="1" customWidth="1"/>
    <col min="2315" max="2315" width="10" style="1" customWidth="1"/>
    <col min="2316" max="2316" width="1.7109375" style="1" customWidth="1"/>
    <col min="2317" max="2317" width="12.42578125" style="1" customWidth="1"/>
    <col min="2318" max="2318" width="2" style="1" customWidth="1"/>
    <col min="2319" max="2319" width="13.85546875" style="1" customWidth="1"/>
    <col min="2320" max="2320" width="3.85546875" style="1" customWidth="1"/>
    <col min="2321" max="2321" width="13.5703125" style="1" bestFit="1" customWidth="1"/>
    <col min="2322" max="2322" width="12.5703125" style="1" customWidth="1"/>
    <col min="2323" max="2323" width="12.7109375" style="1" bestFit="1" customWidth="1"/>
    <col min="2324" max="2326" width="6.85546875" style="1"/>
    <col min="2327" max="2327" width="10.140625" style="1" bestFit="1" customWidth="1"/>
    <col min="2328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5" width="11.42578125" style="1" customWidth="1"/>
    <col min="2566" max="2566" width="13.140625" style="1" customWidth="1"/>
    <col min="2567" max="2567" width="11.140625" style="1" customWidth="1"/>
    <col min="2568" max="2568" width="10.7109375" style="1" customWidth="1"/>
    <col min="2569" max="2569" width="9" style="1" customWidth="1"/>
    <col min="2570" max="2570" width="9.140625" style="1" customWidth="1"/>
    <col min="2571" max="2571" width="10" style="1" customWidth="1"/>
    <col min="2572" max="2572" width="1.7109375" style="1" customWidth="1"/>
    <col min="2573" max="2573" width="12.42578125" style="1" customWidth="1"/>
    <col min="2574" max="2574" width="2" style="1" customWidth="1"/>
    <col min="2575" max="2575" width="13.85546875" style="1" customWidth="1"/>
    <col min="2576" max="2576" width="3.85546875" style="1" customWidth="1"/>
    <col min="2577" max="2577" width="13.5703125" style="1" bestFit="1" customWidth="1"/>
    <col min="2578" max="2578" width="12.5703125" style="1" customWidth="1"/>
    <col min="2579" max="2579" width="12.7109375" style="1" bestFit="1" customWidth="1"/>
    <col min="2580" max="2582" width="6.85546875" style="1"/>
    <col min="2583" max="2583" width="10.140625" style="1" bestFit="1" customWidth="1"/>
    <col min="2584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1" width="11.42578125" style="1" customWidth="1"/>
    <col min="2822" max="2822" width="13.140625" style="1" customWidth="1"/>
    <col min="2823" max="2823" width="11.140625" style="1" customWidth="1"/>
    <col min="2824" max="2824" width="10.7109375" style="1" customWidth="1"/>
    <col min="2825" max="2825" width="9" style="1" customWidth="1"/>
    <col min="2826" max="2826" width="9.140625" style="1" customWidth="1"/>
    <col min="2827" max="2827" width="10" style="1" customWidth="1"/>
    <col min="2828" max="2828" width="1.7109375" style="1" customWidth="1"/>
    <col min="2829" max="2829" width="12.42578125" style="1" customWidth="1"/>
    <col min="2830" max="2830" width="2" style="1" customWidth="1"/>
    <col min="2831" max="2831" width="13.85546875" style="1" customWidth="1"/>
    <col min="2832" max="2832" width="3.85546875" style="1" customWidth="1"/>
    <col min="2833" max="2833" width="13.5703125" style="1" bestFit="1" customWidth="1"/>
    <col min="2834" max="2834" width="12.5703125" style="1" customWidth="1"/>
    <col min="2835" max="2835" width="12.7109375" style="1" bestFit="1" customWidth="1"/>
    <col min="2836" max="2838" width="6.85546875" style="1"/>
    <col min="2839" max="2839" width="10.140625" style="1" bestFit="1" customWidth="1"/>
    <col min="2840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7" width="11.42578125" style="1" customWidth="1"/>
    <col min="3078" max="3078" width="13.140625" style="1" customWidth="1"/>
    <col min="3079" max="3079" width="11.140625" style="1" customWidth="1"/>
    <col min="3080" max="3080" width="10.7109375" style="1" customWidth="1"/>
    <col min="3081" max="3081" width="9" style="1" customWidth="1"/>
    <col min="3082" max="3082" width="9.140625" style="1" customWidth="1"/>
    <col min="3083" max="3083" width="10" style="1" customWidth="1"/>
    <col min="3084" max="3084" width="1.7109375" style="1" customWidth="1"/>
    <col min="3085" max="3085" width="12.42578125" style="1" customWidth="1"/>
    <col min="3086" max="3086" width="2" style="1" customWidth="1"/>
    <col min="3087" max="3087" width="13.85546875" style="1" customWidth="1"/>
    <col min="3088" max="3088" width="3.85546875" style="1" customWidth="1"/>
    <col min="3089" max="3089" width="13.5703125" style="1" bestFit="1" customWidth="1"/>
    <col min="3090" max="3090" width="12.5703125" style="1" customWidth="1"/>
    <col min="3091" max="3091" width="12.7109375" style="1" bestFit="1" customWidth="1"/>
    <col min="3092" max="3094" width="6.85546875" style="1"/>
    <col min="3095" max="3095" width="10.140625" style="1" bestFit="1" customWidth="1"/>
    <col min="3096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3" width="11.42578125" style="1" customWidth="1"/>
    <col min="3334" max="3334" width="13.140625" style="1" customWidth="1"/>
    <col min="3335" max="3335" width="11.140625" style="1" customWidth="1"/>
    <col min="3336" max="3336" width="10.7109375" style="1" customWidth="1"/>
    <col min="3337" max="3337" width="9" style="1" customWidth="1"/>
    <col min="3338" max="3338" width="9.140625" style="1" customWidth="1"/>
    <col min="3339" max="3339" width="10" style="1" customWidth="1"/>
    <col min="3340" max="3340" width="1.7109375" style="1" customWidth="1"/>
    <col min="3341" max="3341" width="12.42578125" style="1" customWidth="1"/>
    <col min="3342" max="3342" width="2" style="1" customWidth="1"/>
    <col min="3343" max="3343" width="13.85546875" style="1" customWidth="1"/>
    <col min="3344" max="3344" width="3.85546875" style="1" customWidth="1"/>
    <col min="3345" max="3345" width="13.5703125" style="1" bestFit="1" customWidth="1"/>
    <col min="3346" max="3346" width="12.5703125" style="1" customWidth="1"/>
    <col min="3347" max="3347" width="12.7109375" style="1" bestFit="1" customWidth="1"/>
    <col min="3348" max="3350" width="6.85546875" style="1"/>
    <col min="3351" max="3351" width="10.140625" style="1" bestFit="1" customWidth="1"/>
    <col min="3352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89" width="11.42578125" style="1" customWidth="1"/>
    <col min="3590" max="3590" width="13.140625" style="1" customWidth="1"/>
    <col min="3591" max="3591" width="11.140625" style="1" customWidth="1"/>
    <col min="3592" max="3592" width="10.7109375" style="1" customWidth="1"/>
    <col min="3593" max="3593" width="9" style="1" customWidth="1"/>
    <col min="3594" max="3594" width="9.140625" style="1" customWidth="1"/>
    <col min="3595" max="3595" width="10" style="1" customWidth="1"/>
    <col min="3596" max="3596" width="1.7109375" style="1" customWidth="1"/>
    <col min="3597" max="3597" width="12.42578125" style="1" customWidth="1"/>
    <col min="3598" max="3598" width="2" style="1" customWidth="1"/>
    <col min="3599" max="3599" width="13.85546875" style="1" customWidth="1"/>
    <col min="3600" max="3600" width="3.85546875" style="1" customWidth="1"/>
    <col min="3601" max="3601" width="13.5703125" style="1" bestFit="1" customWidth="1"/>
    <col min="3602" max="3602" width="12.5703125" style="1" customWidth="1"/>
    <col min="3603" max="3603" width="12.7109375" style="1" bestFit="1" customWidth="1"/>
    <col min="3604" max="3606" width="6.85546875" style="1"/>
    <col min="3607" max="3607" width="10.140625" style="1" bestFit="1" customWidth="1"/>
    <col min="3608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5" width="11.42578125" style="1" customWidth="1"/>
    <col min="3846" max="3846" width="13.140625" style="1" customWidth="1"/>
    <col min="3847" max="3847" width="11.140625" style="1" customWidth="1"/>
    <col min="3848" max="3848" width="10.7109375" style="1" customWidth="1"/>
    <col min="3849" max="3849" width="9" style="1" customWidth="1"/>
    <col min="3850" max="3850" width="9.140625" style="1" customWidth="1"/>
    <col min="3851" max="3851" width="10" style="1" customWidth="1"/>
    <col min="3852" max="3852" width="1.7109375" style="1" customWidth="1"/>
    <col min="3853" max="3853" width="12.42578125" style="1" customWidth="1"/>
    <col min="3854" max="3854" width="2" style="1" customWidth="1"/>
    <col min="3855" max="3855" width="13.85546875" style="1" customWidth="1"/>
    <col min="3856" max="3856" width="3.85546875" style="1" customWidth="1"/>
    <col min="3857" max="3857" width="13.5703125" style="1" bestFit="1" customWidth="1"/>
    <col min="3858" max="3858" width="12.5703125" style="1" customWidth="1"/>
    <col min="3859" max="3859" width="12.7109375" style="1" bestFit="1" customWidth="1"/>
    <col min="3860" max="3862" width="6.85546875" style="1"/>
    <col min="3863" max="3863" width="10.140625" style="1" bestFit="1" customWidth="1"/>
    <col min="3864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1" width="11.42578125" style="1" customWidth="1"/>
    <col min="4102" max="4102" width="13.140625" style="1" customWidth="1"/>
    <col min="4103" max="4103" width="11.140625" style="1" customWidth="1"/>
    <col min="4104" max="4104" width="10.7109375" style="1" customWidth="1"/>
    <col min="4105" max="4105" width="9" style="1" customWidth="1"/>
    <col min="4106" max="4106" width="9.140625" style="1" customWidth="1"/>
    <col min="4107" max="4107" width="10" style="1" customWidth="1"/>
    <col min="4108" max="4108" width="1.7109375" style="1" customWidth="1"/>
    <col min="4109" max="4109" width="12.42578125" style="1" customWidth="1"/>
    <col min="4110" max="4110" width="2" style="1" customWidth="1"/>
    <col min="4111" max="4111" width="13.85546875" style="1" customWidth="1"/>
    <col min="4112" max="4112" width="3.85546875" style="1" customWidth="1"/>
    <col min="4113" max="4113" width="13.5703125" style="1" bestFit="1" customWidth="1"/>
    <col min="4114" max="4114" width="12.5703125" style="1" customWidth="1"/>
    <col min="4115" max="4115" width="12.7109375" style="1" bestFit="1" customWidth="1"/>
    <col min="4116" max="4118" width="6.85546875" style="1"/>
    <col min="4119" max="4119" width="10.140625" style="1" bestFit="1" customWidth="1"/>
    <col min="4120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7" width="11.42578125" style="1" customWidth="1"/>
    <col min="4358" max="4358" width="13.140625" style="1" customWidth="1"/>
    <col min="4359" max="4359" width="11.140625" style="1" customWidth="1"/>
    <col min="4360" max="4360" width="10.7109375" style="1" customWidth="1"/>
    <col min="4361" max="4361" width="9" style="1" customWidth="1"/>
    <col min="4362" max="4362" width="9.140625" style="1" customWidth="1"/>
    <col min="4363" max="4363" width="10" style="1" customWidth="1"/>
    <col min="4364" max="4364" width="1.7109375" style="1" customWidth="1"/>
    <col min="4365" max="4365" width="12.42578125" style="1" customWidth="1"/>
    <col min="4366" max="4366" width="2" style="1" customWidth="1"/>
    <col min="4367" max="4367" width="13.85546875" style="1" customWidth="1"/>
    <col min="4368" max="4368" width="3.85546875" style="1" customWidth="1"/>
    <col min="4369" max="4369" width="13.5703125" style="1" bestFit="1" customWidth="1"/>
    <col min="4370" max="4370" width="12.5703125" style="1" customWidth="1"/>
    <col min="4371" max="4371" width="12.7109375" style="1" bestFit="1" customWidth="1"/>
    <col min="4372" max="4374" width="6.85546875" style="1"/>
    <col min="4375" max="4375" width="10.140625" style="1" bestFit="1" customWidth="1"/>
    <col min="4376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3" width="11.42578125" style="1" customWidth="1"/>
    <col min="4614" max="4614" width="13.140625" style="1" customWidth="1"/>
    <col min="4615" max="4615" width="11.140625" style="1" customWidth="1"/>
    <col min="4616" max="4616" width="10.7109375" style="1" customWidth="1"/>
    <col min="4617" max="4617" width="9" style="1" customWidth="1"/>
    <col min="4618" max="4618" width="9.140625" style="1" customWidth="1"/>
    <col min="4619" max="4619" width="10" style="1" customWidth="1"/>
    <col min="4620" max="4620" width="1.7109375" style="1" customWidth="1"/>
    <col min="4621" max="4621" width="12.42578125" style="1" customWidth="1"/>
    <col min="4622" max="4622" width="2" style="1" customWidth="1"/>
    <col min="4623" max="4623" width="13.85546875" style="1" customWidth="1"/>
    <col min="4624" max="4624" width="3.85546875" style="1" customWidth="1"/>
    <col min="4625" max="4625" width="13.5703125" style="1" bestFit="1" customWidth="1"/>
    <col min="4626" max="4626" width="12.5703125" style="1" customWidth="1"/>
    <col min="4627" max="4627" width="12.7109375" style="1" bestFit="1" customWidth="1"/>
    <col min="4628" max="4630" width="6.85546875" style="1"/>
    <col min="4631" max="4631" width="10.140625" style="1" bestFit="1" customWidth="1"/>
    <col min="4632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69" width="11.42578125" style="1" customWidth="1"/>
    <col min="4870" max="4870" width="13.140625" style="1" customWidth="1"/>
    <col min="4871" max="4871" width="11.140625" style="1" customWidth="1"/>
    <col min="4872" max="4872" width="10.7109375" style="1" customWidth="1"/>
    <col min="4873" max="4873" width="9" style="1" customWidth="1"/>
    <col min="4874" max="4874" width="9.140625" style="1" customWidth="1"/>
    <col min="4875" max="4875" width="10" style="1" customWidth="1"/>
    <col min="4876" max="4876" width="1.7109375" style="1" customWidth="1"/>
    <col min="4877" max="4877" width="12.42578125" style="1" customWidth="1"/>
    <col min="4878" max="4878" width="2" style="1" customWidth="1"/>
    <col min="4879" max="4879" width="13.85546875" style="1" customWidth="1"/>
    <col min="4880" max="4880" width="3.85546875" style="1" customWidth="1"/>
    <col min="4881" max="4881" width="13.5703125" style="1" bestFit="1" customWidth="1"/>
    <col min="4882" max="4882" width="12.5703125" style="1" customWidth="1"/>
    <col min="4883" max="4883" width="12.7109375" style="1" bestFit="1" customWidth="1"/>
    <col min="4884" max="4886" width="6.85546875" style="1"/>
    <col min="4887" max="4887" width="10.140625" style="1" bestFit="1" customWidth="1"/>
    <col min="4888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5" width="11.42578125" style="1" customWidth="1"/>
    <col min="5126" max="5126" width="13.140625" style="1" customWidth="1"/>
    <col min="5127" max="5127" width="11.140625" style="1" customWidth="1"/>
    <col min="5128" max="5128" width="10.7109375" style="1" customWidth="1"/>
    <col min="5129" max="5129" width="9" style="1" customWidth="1"/>
    <col min="5130" max="5130" width="9.140625" style="1" customWidth="1"/>
    <col min="5131" max="5131" width="10" style="1" customWidth="1"/>
    <col min="5132" max="5132" width="1.7109375" style="1" customWidth="1"/>
    <col min="5133" max="5133" width="12.42578125" style="1" customWidth="1"/>
    <col min="5134" max="5134" width="2" style="1" customWidth="1"/>
    <col min="5135" max="5135" width="13.85546875" style="1" customWidth="1"/>
    <col min="5136" max="5136" width="3.85546875" style="1" customWidth="1"/>
    <col min="5137" max="5137" width="13.5703125" style="1" bestFit="1" customWidth="1"/>
    <col min="5138" max="5138" width="12.5703125" style="1" customWidth="1"/>
    <col min="5139" max="5139" width="12.7109375" style="1" bestFit="1" customWidth="1"/>
    <col min="5140" max="5142" width="6.85546875" style="1"/>
    <col min="5143" max="5143" width="10.140625" style="1" bestFit="1" customWidth="1"/>
    <col min="5144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1" width="11.42578125" style="1" customWidth="1"/>
    <col min="5382" max="5382" width="13.140625" style="1" customWidth="1"/>
    <col min="5383" max="5383" width="11.140625" style="1" customWidth="1"/>
    <col min="5384" max="5384" width="10.7109375" style="1" customWidth="1"/>
    <col min="5385" max="5385" width="9" style="1" customWidth="1"/>
    <col min="5386" max="5386" width="9.140625" style="1" customWidth="1"/>
    <col min="5387" max="5387" width="10" style="1" customWidth="1"/>
    <col min="5388" max="5388" width="1.7109375" style="1" customWidth="1"/>
    <col min="5389" max="5389" width="12.42578125" style="1" customWidth="1"/>
    <col min="5390" max="5390" width="2" style="1" customWidth="1"/>
    <col min="5391" max="5391" width="13.85546875" style="1" customWidth="1"/>
    <col min="5392" max="5392" width="3.85546875" style="1" customWidth="1"/>
    <col min="5393" max="5393" width="13.5703125" style="1" bestFit="1" customWidth="1"/>
    <col min="5394" max="5394" width="12.5703125" style="1" customWidth="1"/>
    <col min="5395" max="5395" width="12.7109375" style="1" bestFit="1" customWidth="1"/>
    <col min="5396" max="5398" width="6.85546875" style="1"/>
    <col min="5399" max="5399" width="10.140625" style="1" bestFit="1" customWidth="1"/>
    <col min="5400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7" width="11.42578125" style="1" customWidth="1"/>
    <col min="5638" max="5638" width="13.140625" style="1" customWidth="1"/>
    <col min="5639" max="5639" width="11.140625" style="1" customWidth="1"/>
    <col min="5640" max="5640" width="10.7109375" style="1" customWidth="1"/>
    <col min="5641" max="5641" width="9" style="1" customWidth="1"/>
    <col min="5642" max="5642" width="9.140625" style="1" customWidth="1"/>
    <col min="5643" max="5643" width="10" style="1" customWidth="1"/>
    <col min="5644" max="5644" width="1.7109375" style="1" customWidth="1"/>
    <col min="5645" max="5645" width="12.42578125" style="1" customWidth="1"/>
    <col min="5646" max="5646" width="2" style="1" customWidth="1"/>
    <col min="5647" max="5647" width="13.85546875" style="1" customWidth="1"/>
    <col min="5648" max="5648" width="3.85546875" style="1" customWidth="1"/>
    <col min="5649" max="5649" width="13.5703125" style="1" bestFit="1" customWidth="1"/>
    <col min="5650" max="5650" width="12.5703125" style="1" customWidth="1"/>
    <col min="5651" max="5651" width="12.7109375" style="1" bestFit="1" customWidth="1"/>
    <col min="5652" max="5654" width="6.85546875" style="1"/>
    <col min="5655" max="5655" width="10.140625" style="1" bestFit="1" customWidth="1"/>
    <col min="5656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3" width="11.42578125" style="1" customWidth="1"/>
    <col min="5894" max="5894" width="13.140625" style="1" customWidth="1"/>
    <col min="5895" max="5895" width="11.140625" style="1" customWidth="1"/>
    <col min="5896" max="5896" width="10.7109375" style="1" customWidth="1"/>
    <col min="5897" max="5897" width="9" style="1" customWidth="1"/>
    <col min="5898" max="5898" width="9.140625" style="1" customWidth="1"/>
    <col min="5899" max="5899" width="10" style="1" customWidth="1"/>
    <col min="5900" max="5900" width="1.7109375" style="1" customWidth="1"/>
    <col min="5901" max="5901" width="12.42578125" style="1" customWidth="1"/>
    <col min="5902" max="5902" width="2" style="1" customWidth="1"/>
    <col min="5903" max="5903" width="13.85546875" style="1" customWidth="1"/>
    <col min="5904" max="5904" width="3.85546875" style="1" customWidth="1"/>
    <col min="5905" max="5905" width="13.5703125" style="1" bestFit="1" customWidth="1"/>
    <col min="5906" max="5906" width="12.5703125" style="1" customWidth="1"/>
    <col min="5907" max="5907" width="12.7109375" style="1" bestFit="1" customWidth="1"/>
    <col min="5908" max="5910" width="6.85546875" style="1"/>
    <col min="5911" max="5911" width="10.140625" style="1" bestFit="1" customWidth="1"/>
    <col min="5912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49" width="11.42578125" style="1" customWidth="1"/>
    <col min="6150" max="6150" width="13.140625" style="1" customWidth="1"/>
    <col min="6151" max="6151" width="11.140625" style="1" customWidth="1"/>
    <col min="6152" max="6152" width="10.7109375" style="1" customWidth="1"/>
    <col min="6153" max="6153" width="9" style="1" customWidth="1"/>
    <col min="6154" max="6154" width="9.140625" style="1" customWidth="1"/>
    <col min="6155" max="6155" width="10" style="1" customWidth="1"/>
    <col min="6156" max="6156" width="1.7109375" style="1" customWidth="1"/>
    <col min="6157" max="6157" width="12.42578125" style="1" customWidth="1"/>
    <col min="6158" max="6158" width="2" style="1" customWidth="1"/>
    <col min="6159" max="6159" width="13.85546875" style="1" customWidth="1"/>
    <col min="6160" max="6160" width="3.85546875" style="1" customWidth="1"/>
    <col min="6161" max="6161" width="13.5703125" style="1" bestFit="1" customWidth="1"/>
    <col min="6162" max="6162" width="12.5703125" style="1" customWidth="1"/>
    <col min="6163" max="6163" width="12.7109375" style="1" bestFit="1" customWidth="1"/>
    <col min="6164" max="6166" width="6.85546875" style="1"/>
    <col min="6167" max="6167" width="10.140625" style="1" bestFit="1" customWidth="1"/>
    <col min="6168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5" width="11.42578125" style="1" customWidth="1"/>
    <col min="6406" max="6406" width="13.140625" style="1" customWidth="1"/>
    <col min="6407" max="6407" width="11.140625" style="1" customWidth="1"/>
    <col min="6408" max="6408" width="10.7109375" style="1" customWidth="1"/>
    <col min="6409" max="6409" width="9" style="1" customWidth="1"/>
    <col min="6410" max="6410" width="9.140625" style="1" customWidth="1"/>
    <col min="6411" max="6411" width="10" style="1" customWidth="1"/>
    <col min="6412" max="6412" width="1.7109375" style="1" customWidth="1"/>
    <col min="6413" max="6413" width="12.42578125" style="1" customWidth="1"/>
    <col min="6414" max="6414" width="2" style="1" customWidth="1"/>
    <col min="6415" max="6415" width="13.85546875" style="1" customWidth="1"/>
    <col min="6416" max="6416" width="3.85546875" style="1" customWidth="1"/>
    <col min="6417" max="6417" width="13.5703125" style="1" bestFit="1" customWidth="1"/>
    <col min="6418" max="6418" width="12.5703125" style="1" customWidth="1"/>
    <col min="6419" max="6419" width="12.7109375" style="1" bestFit="1" customWidth="1"/>
    <col min="6420" max="6422" width="6.85546875" style="1"/>
    <col min="6423" max="6423" width="10.140625" style="1" bestFit="1" customWidth="1"/>
    <col min="6424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1" width="11.42578125" style="1" customWidth="1"/>
    <col min="6662" max="6662" width="13.140625" style="1" customWidth="1"/>
    <col min="6663" max="6663" width="11.140625" style="1" customWidth="1"/>
    <col min="6664" max="6664" width="10.7109375" style="1" customWidth="1"/>
    <col min="6665" max="6665" width="9" style="1" customWidth="1"/>
    <col min="6666" max="6666" width="9.140625" style="1" customWidth="1"/>
    <col min="6667" max="6667" width="10" style="1" customWidth="1"/>
    <col min="6668" max="6668" width="1.7109375" style="1" customWidth="1"/>
    <col min="6669" max="6669" width="12.42578125" style="1" customWidth="1"/>
    <col min="6670" max="6670" width="2" style="1" customWidth="1"/>
    <col min="6671" max="6671" width="13.85546875" style="1" customWidth="1"/>
    <col min="6672" max="6672" width="3.85546875" style="1" customWidth="1"/>
    <col min="6673" max="6673" width="13.5703125" style="1" bestFit="1" customWidth="1"/>
    <col min="6674" max="6674" width="12.5703125" style="1" customWidth="1"/>
    <col min="6675" max="6675" width="12.7109375" style="1" bestFit="1" customWidth="1"/>
    <col min="6676" max="6678" width="6.85546875" style="1"/>
    <col min="6679" max="6679" width="10.140625" style="1" bestFit="1" customWidth="1"/>
    <col min="6680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7" width="11.42578125" style="1" customWidth="1"/>
    <col min="6918" max="6918" width="13.140625" style="1" customWidth="1"/>
    <col min="6919" max="6919" width="11.140625" style="1" customWidth="1"/>
    <col min="6920" max="6920" width="10.7109375" style="1" customWidth="1"/>
    <col min="6921" max="6921" width="9" style="1" customWidth="1"/>
    <col min="6922" max="6922" width="9.140625" style="1" customWidth="1"/>
    <col min="6923" max="6923" width="10" style="1" customWidth="1"/>
    <col min="6924" max="6924" width="1.7109375" style="1" customWidth="1"/>
    <col min="6925" max="6925" width="12.42578125" style="1" customWidth="1"/>
    <col min="6926" max="6926" width="2" style="1" customWidth="1"/>
    <col min="6927" max="6927" width="13.85546875" style="1" customWidth="1"/>
    <col min="6928" max="6928" width="3.85546875" style="1" customWidth="1"/>
    <col min="6929" max="6929" width="13.5703125" style="1" bestFit="1" customWidth="1"/>
    <col min="6930" max="6930" width="12.5703125" style="1" customWidth="1"/>
    <col min="6931" max="6931" width="12.7109375" style="1" bestFit="1" customWidth="1"/>
    <col min="6932" max="6934" width="6.85546875" style="1"/>
    <col min="6935" max="6935" width="10.140625" style="1" bestFit="1" customWidth="1"/>
    <col min="6936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3" width="11.42578125" style="1" customWidth="1"/>
    <col min="7174" max="7174" width="13.140625" style="1" customWidth="1"/>
    <col min="7175" max="7175" width="11.140625" style="1" customWidth="1"/>
    <col min="7176" max="7176" width="10.7109375" style="1" customWidth="1"/>
    <col min="7177" max="7177" width="9" style="1" customWidth="1"/>
    <col min="7178" max="7178" width="9.140625" style="1" customWidth="1"/>
    <col min="7179" max="7179" width="10" style="1" customWidth="1"/>
    <col min="7180" max="7180" width="1.7109375" style="1" customWidth="1"/>
    <col min="7181" max="7181" width="12.42578125" style="1" customWidth="1"/>
    <col min="7182" max="7182" width="2" style="1" customWidth="1"/>
    <col min="7183" max="7183" width="13.85546875" style="1" customWidth="1"/>
    <col min="7184" max="7184" width="3.85546875" style="1" customWidth="1"/>
    <col min="7185" max="7185" width="13.5703125" style="1" bestFit="1" customWidth="1"/>
    <col min="7186" max="7186" width="12.5703125" style="1" customWidth="1"/>
    <col min="7187" max="7187" width="12.7109375" style="1" bestFit="1" customWidth="1"/>
    <col min="7188" max="7190" width="6.85546875" style="1"/>
    <col min="7191" max="7191" width="10.140625" style="1" bestFit="1" customWidth="1"/>
    <col min="7192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29" width="11.42578125" style="1" customWidth="1"/>
    <col min="7430" max="7430" width="13.140625" style="1" customWidth="1"/>
    <col min="7431" max="7431" width="11.140625" style="1" customWidth="1"/>
    <col min="7432" max="7432" width="10.7109375" style="1" customWidth="1"/>
    <col min="7433" max="7433" width="9" style="1" customWidth="1"/>
    <col min="7434" max="7434" width="9.140625" style="1" customWidth="1"/>
    <col min="7435" max="7435" width="10" style="1" customWidth="1"/>
    <col min="7436" max="7436" width="1.7109375" style="1" customWidth="1"/>
    <col min="7437" max="7437" width="12.42578125" style="1" customWidth="1"/>
    <col min="7438" max="7438" width="2" style="1" customWidth="1"/>
    <col min="7439" max="7439" width="13.85546875" style="1" customWidth="1"/>
    <col min="7440" max="7440" width="3.85546875" style="1" customWidth="1"/>
    <col min="7441" max="7441" width="13.5703125" style="1" bestFit="1" customWidth="1"/>
    <col min="7442" max="7442" width="12.5703125" style="1" customWidth="1"/>
    <col min="7443" max="7443" width="12.7109375" style="1" bestFit="1" customWidth="1"/>
    <col min="7444" max="7446" width="6.85546875" style="1"/>
    <col min="7447" max="7447" width="10.140625" style="1" bestFit="1" customWidth="1"/>
    <col min="7448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5" width="11.42578125" style="1" customWidth="1"/>
    <col min="7686" max="7686" width="13.140625" style="1" customWidth="1"/>
    <col min="7687" max="7687" width="11.140625" style="1" customWidth="1"/>
    <col min="7688" max="7688" width="10.7109375" style="1" customWidth="1"/>
    <col min="7689" max="7689" width="9" style="1" customWidth="1"/>
    <col min="7690" max="7690" width="9.140625" style="1" customWidth="1"/>
    <col min="7691" max="7691" width="10" style="1" customWidth="1"/>
    <col min="7692" max="7692" width="1.7109375" style="1" customWidth="1"/>
    <col min="7693" max="7693" width="12.42578125" style="1" customWidth="1"/>
    <col min="7694" max="7694" width="2" style="1" customWidth="1"/>
    <col min="7695" max="7695" width="13.85546875" style="1" customWidth="1"/>
    <col min="7696" max="7696" width="3.85546875" style="1" customWidth="1"/>
    <col min="7697" max="7697" width="13.5703125" style="1" bestFit="1" customWidth="1"/>
    <col min="7698" max="7698" width="12.5703125" style="1" customWidth="1"/>
    <col min="7699" max="7699" width="12.7109375" style="1" bestFit="1" customWidth="1"/>
    <col min="7700" max="7702" width="6.85546875" style="1"/>
    <col min="7703" max="7703" width="10.140625" style="1" bestFit="1" customWidth="1"/>
    <col min="7704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1" width="11.42578125" style="1" customWidth="1"/>
    <col min="7942" max="7942" width="13.140625" style="1" customWidth="1"/>
    <col min="7943" max="7943" width="11.140625" style="1" customWidth="1"/>
    <col min="7944" max="7944" width="10.7109375" style="1" customWidth="1"/>
    <col min="7945" max="7945" width="9" style="1" customWidth="1"/>
    <col min="7946" max="7946" width="9.140625" style="1" customWidth="1"/>
    <col min="7947" max="7947" width="10" style="1" customWidth="1"/>
    <col min="7948" max="7948" width="1.7109375" style="1" customWidth="1"/>
    <col min="7949" max="7949" width="12.42578125" style="1" customWidth="1"/>
    <col min="7950" max="7950" width="2" style="1" customWidth="1"/>
    <col min="7951" max="7951" width="13.85546875" style="1" customWidth="1"/>
    <col min="7952" max="7952" width="3.85546875" style="1" customWidth="1"/>
    <col min="7953" max="7953" width="13.5703125" style="1" bestFit="1" customWidth="1"/>
    <col min="7954" max="7954" width="12.5703125" style="1" customWidth="1"/>
    <col min="7955" max="7955" width="12.7109375" style="1" bestFit="1" customWidth="1"/>
    <col min="7956" max="7958" width="6.85546875" style="1"/>
    <col min="7959" max="7959" width="10.140625" style="1" bestFit="1" customWidth="1"/>
    <col min="7960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7" width="11.42578125" style="1" customWidth="1"/>
    <col min="8198" max="8198" width="13.140625" style="1" customWidth="1"/>
    <col min="8199" max="8199" width="11.140625" style="1" customWidth="1"/>
    <col min="8200" max="8200" width="10.7109375" style="1" customWidth="1"/>
    <col min="8201" max="8201" width="9" style="1" customWidth="1"/>
    <col min="8202" max="8202" width="9.140625" style="1" customWidth="1"/>
    <col min="8203" max="8203" width="10" style="1" customWidth="1"/>
    <col min="8204" max="8204" width="1.7109375" style="1" customWidth="1"/>
    <col min="8205" max="8205" width="12.42578125" style="1" customWidth="1"/>
    <col min="8206" max="8206" width="2" style="1" customWidth="1"/>
    <col min="8207" max="8207" width="13.85546875" style="1" customWidth="1"/>
    <col min="8208" max="8208" width="3.85546875" style="1" customWidth="1"/>
    <col min="8209" max="8209" width="13.5703125" style="1" bestFit="1" customWidth="1"/>
    <col min="8210" max="8210" width="12.5703125" style="1" customWidth="1"/>
    <col min="8211" max="8211" width="12.7109375" style="1" bestFit="1" customWidth="1"/>
    <col min="8212" max="8214" width="6.85546875" style="1"/>
    <col min="8215" max="8215" width="10.140625" style="1" bestFit="1" customWidth="1"/>
    <col min="8216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3" width="11.42578125" style="1" customWidth="1"/>
    <col min="8454" max="8454" width="13.140625" style="1" customWidth="1"/>
    <col min="8455" max="8455" width="11.140625" style="1" customWidth="1"/>
    <col min="8456" max="8456" width="10.7109375" style="1" customWidth="1"/>
    <col min="8457" max="8457" width="9" style="1" customWidth="1"/>
    <col min="8458" max="8458" width="9.140625" style="1" customWidth="1"/>
    <col min="8459" max="8459" width="10" style="1" customWidth="1"/>
    <col min="8460" max="8460" width="1.7109375" style="1" customWidth="1"/>
    <col min="8461" max="8461" width="12.42578125" style="1" customWidth="1"/>
    <col min="8462" max="8462" width="2" style="1" customWidth="1"/>
    <col min="8463" max="8463" width="13.85546875" style="1" customWidth="1"/>
    <col min="8464" max="8464" width="3.85546875" style="1" customWidth="1"/>
    <col min="8465" max="8465" width="13.5703125" style="1" bestFit="1" customWidth="1"/>
    <col min="8466" max="8466" width="12.5703125" style="1" customWidth="1"/>
    <col min="8467" max="8467" width="12.7109375" style="1" bestFit="1" customWidth="1"/>
    <col min="8468" max="8470" width="6.85546875" style="1"/>
    <col min="8471" max="8471" width="10.140625" style="1" bestFit="1" customWidth="1"/>
    <col min="8472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09" width="11.42578125" style="1" customWidth="1"/>
    <col min="8710" max="8710" width="13.140625" style="1" customWidth="1"/>
    <col min="8711" max="8711" width="11.140625" style="1" customWidth="1"/>
    <col min="8712" max="8712" width="10.7109375" style="1" customWidth="1"/>
    <col min="8713" max="8713" width="9" style="1" customWidth="1"/>
    <col min="8714" max="8714" width="9.140625" style="1" customWidth="1"/>
    <col min="8715" max="8715" width="10" style="1" customWidth="1"/>
    <col min="8716" max="8716" width="1.7109375" style="1" customWidth="1"/>
    <col min="8717" max="8717" width="12.42578125" style="1" customWidth="1"/>
    <col min="8718" max="8718" width="2" style="1" customWidth="1"/>
    <col min="8719" max="8719" width="13.85546875" style="1" customWidth="1"/>
    <col min="8720" max="8720" width="3.85546875" style="1" customWidth="1"/>
    <col min="8721" max="8721" width="13.5703125" style="1" bestFit="1" customWidth="1"/>
    <col min="8722" max="8722" width="12.5703125" style="1" customWidth="1"/>
    <col min="8723" max="8723" width="12.7109375" style="1" bestFit="1" customWidth="1"/>
    <col min="8724" max="8726" width="6.85546875" style="1"/>
    <col min="8727" max="8727" width="10.140625" style="1" bestFit="1" customWidth="1"/>
    <col min="8728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5" width="11.42578125" style="1" customWidth="1"/>
    <col min="8966" max="8966" width="13.140625" style="1" customWidth="1"/>
    <col min="8967" max="8967" width="11.140625" style="1" customWidth="1"/>
    <col min="8968" max="8968" width="10.7109375" style="1" customWidth="1"/>
    <col min="8969" max="8969" width="9" style="1" customWidth="1"/>
    <col min="8970" max="8970" width="9.140625" style="1" customWidth="1"/>
    <col min="8971" max="8971" width="10" style="1" customWidth="1"/>
    <col min="8972" max="8972" width="1.7109375" style="1" customWidth="1"/>
    <col min="8973" max="8973" width="12.42578125" style="1" customWidth="1"/>
    <col min="8974" max="8974" width="2" style="1" customWidth="1"/>
    <col min="8975" max="8975" width="13.85546875" style="1" customWidth="1"/>
    <col min="8976" max="8976" width="3.85546875" style="1" customWidth="1"/>
    <col min="8977" max="8977" width="13.5703125" style="1" bestFit="1" customWidth="1"/>
    <col min="8978" max="8978" width="12.5703125" style="1" customWidth="1"/>
    <col min="8979" max="8979" width="12.7109375" style="1" bestFit="1" customWidth="1"/>
    <col min="8980" max="8982" width="6.85546875" style="1"/>
    <col min="8983" max="8983" width="10.140625" style="1" bestFit="1" customWidth="1"/>
    <col min="8984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1" width="11.42578125" style="1" customWidth="1"/>
    <col min="9222" max="9222" width="13.140625" style="1" customWidth="1"/>
    <col min="9223" max="9223" width="11.140625" style="1" customWidth="1"/>
    <col min="9224" max="9224" width="10.7109375" style="1" customWidth="1"/>
    <col min="9225" max="9225" width="9" style="1" customWidth="1"/>
    <col min="9226" max="9226" width="9.140625" style="1" customWidth="1"/>
    <col min="9227" max="9227" width="10" style="1" customWidth="1"/>
    <col min="9228" max="9228" width="1.7109375" style="1" customWidth="1"/>
    <col min="9229" max="9229" width="12.42578125" style="1" customWidth="1"/>
    <col min="9230" max="9230" width="2" style="1" customWidth="1"/>
    <col min="9231" max="9231" width="13.85546875" style="1" customWidth="1"/>
    <col min="9232" max="9232" width="3.85546875" style="1" customWidth="1"/>
    <col min="9233" max="9233" width="13.5703125" style="1" bestFit="1" customWidth="1"/>
    <col min="9234" max="9234" width="12.5703125" style="1" customWidth="1"/>
    <col min="9235" max="9235" width="12.7109375" style="1" bestFit="1" customWidth="1"/>
    <col min="9236" max="9238" width="6.85546875" style="1"/>
    <col min="9239" max="9239" width="10.140625" style="1" bestFit="1" customWidth="1"/>
    <col min="9240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7" width="11.42578125" style="1" customWidth="1"/>
    <col min="9478" max="9478" width="13.140625" style="1" customWidth="1"/>
    <col min="9479" max="9479" width="11.140625" style="1" customWidth="1"/>
    <col min="9480" max="9480" width="10.7109375" style="1" customWidth="1"/>
    <col min="9481" max="9481" width="9" style="1" customWidth="1"/>
    <col min="9482" max="9482" width="9.140625" style="1" customWidth="1"/>
    <col min="9483" max="9483" width="10" style="1" customWidth="1"/>
    <col min="9484" max="9484" width="1.7109375" style="1" customWidth="1"/>
    <col min="9485" max="9485" width="12.42578125" style="1" customWidth="1"/>
    <col min="9486" max="9486" width="2" style="1" customWidth="1"/>
    <col min="9487" max="9487" width="13.85546875" style="1" customWidth="1"/>
    <col min="9488" max="9488" width="3.85546875" style="1" customWidth="1"/>
    <col min="9489" max="9489" width="13.5703125" style="1" bestFit="1" customWidth="1"/>
    <col min="9490" max="9490" width="12.5703125" style="1" customWidth="1"/>
    <col min="9491" max="9491" width="12.7109375" style="1" bestFit="1" customWidth="1"/>
    <col min="9492" max="9494" width="6.85546875" style="1"/>
    <col min="9495" max="9495" width="10.140625" style="1" bestFit="1" customWidth="1"/>
    <col min="9496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3" width="11.42578125" style="1" customWidth="1"/>
    <col min="9734" max="9734" width="13.140625" style="1" customWidth="1"/>
    <col min="9735" max="9735" width="11.140625" style="1" customWidth="1"/>
    <col min="9736" max="9736" width="10.7109375" style="1" customWidth="1"/>
    <col min="9737" max="9737" width="9" style="1" customWidth="1"/>
    <col min="9738" max="9738" width="9.140625" style="1" customWidth="1"/>
    <col min="9739" max="9739" width="10" style="1" customWidth="1"/>
    <col min="9740" max="9740" width="1.7109375" style="1" customWidth="1"/>
    <col min="9741" max="9741" width="12.42578125" style="1" customWidth="1"/>
    <col min="9742" max="9742" width="2" style="1" customWidth="1"/>
    <col min="9743" max="9743" width="13.85546875" style="1" customWidth="1"/>
    <col min="9744" max="9744" width="3.85546875" style="1" customWidth="1"/>
    <col min="9745" max="9745" width="13.5703125" style="1" bestFit="1" customWidth="1"/>
    <col min="9746" max="9746" width="12.5703125" style="1" customWidth="1"/>
    <col min="9747" max="9747" width="12.7109375" style="1" bestFit="1" customWidth="1"/>
    <col min="9748" max="9750" width="6.85546875" style="1"/>
    <col min="9751" max="9751" width="10.140625" style="1" bestFit="1" customWidth="1"/>
    <col min="9752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89" width="11.42578125" style="1" customWidth="1"/>
    <col min="9990" max="9990" width="13.140625" style="1" customWidth="1"/>
    <col min="9991" max="9991" width="11.140625" style="1" customWidth="1"/>
    <col min="9992" max="9992" width="10.7109375" style="1" customWidth="1"/>
    <col min="9993" max="9993" width="9" style="1" customWidth="1"/>
    <col min="9994" max="9994" width="9.140625" style="1" customWidth="1"/>
    <col min="9995" max="9995" width="10" style="1" customWidth="1"/>
    <col min="9996" max="9996" width="1.7109375" style="1" customWidth="1"/>
    <col min="9997" max="9997" width="12.42578125" style="1" customWidth="1"/>
    <col min="9998" max="9998" width="2" style="1" customWidth="1"/>
    <col min="9999" max="9999" width="13.85546875" style="1" customWidth="1"/>
    <col min="10000" max="10000" width="3.85546875" style="1" customWidth="1"/>
    <col min="10001" max="10001" width="13.5703125" style="1" bestFit="1" customWidth="1"/>
    <col min="10002" max="10002" width="12.5703125" style="1" customWidth="1"/>
    <col min="10003" max="10003" width="12.7109375" style="1" bestFit="1" customWidth="1"/>
    <col min="10004" max="10006" width="6.85546875" style="1"/>
    <col min="10007" max="10007" width="10.140625" style="1" bestFit="1" customWidth="1"/>
    <col min="10008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5" width="11.42578125" style="1" customWidth="1"/>
    <col min="10246" max="10246" width="13.140625" style="1" customWidth="1"/>
    <col min="10247" max="10247" width="11.140625" style="1" customWidth="1"/>
    <col min="10248" max="10248" width="10.7109375" style="1" customWidth="1"/>
    <col min="10249" max="10249" width="9" style="1" customWidth="1"/>
    <col min="10250" max="10250" width="9.140625" style="1" customWidth="1"/>
    <col min="10251" max="10251" width="10" style="1" customWidth="1"/>
    <col min="10252" max="10252" width="1.7109375" style="1" customWidth="1"/>
    <col min="10253" max="10253" width="12.42578125" style="1" customWidth="1"/>
    <col min="10254" max="10254" width="2" style="1" customWidth="1"/>
    <col min="10255" max="10255" width="13.85546875" style="1" customWidth="1"/>
    <col min="10256" max="10256" width="3.85546875" style="1" customWidth="1"/>
    <col min="10257" max="10257" width="13.5703125" style="1" bestFit="1" customWidth="1"/>
    <col min="10258" max="10258" width="12.5703125" style="1" customWidth="1"/>
    <col min="10259" max="10259" width="12.7109375" style="1" bestFit="1" customWidth="1"/>
    <col min="10260" max="10262" width="6.85546875" style="1"/>
    <col min="10263" max="10263" width="10.140625" style="1" bestFit="1" customWidth="1"/>
    <col min="10264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1" width="11.42578125" style="1" customWidth="1"/>
    <col min="10502" max="10502" width="13.140625" style="1" customWidth="1"/>
    <col min="10503" max="10503" width="11.140625" style="1" customWidth="1"/>
    <col min="10504" max="10504" width="10.7109375" style="1" customWidth="1"/>
    <col min="10505" max="10505" width="9" style="1" customWidth="1"/>
    <col min="10506" max="10506" width="9.140625" style="1" customWidth="1"/>
    <col min="10507" max="10507" width="10" style="1" customWidth="1"/>
    <col min="10508" max="10508" width="1.7109375" style="1" customWidth="1"/>
    <col min="10509" max="10509" width="12.42578125" style="1" customWidth="1"/>
    <col min="10510" max="10510" width="2" style="1" customWidth="1"/>
    <col min="10511" max="10511" width="13.85546875" style="1" customWidth="1"/>
    <col min="10512" max="10512" width="3.85546875" style="1" customWidth="1"/>
    <col min="10513" max="10513" width="13.5703125" style="1" bestFit="1" customWidth="1"/>
    <col min="10514" max="10514" width="12.5703125" style="1" customWidth="1"/>
    <col min="10515" max="10515" width="12.7109375" style="1" bestFit="1" customWidth="1"/>
    <col min="10516" max="10518" width="6.85546875" style="1"/>
    <col min="10519" max="10519" width="10.140625" style="1" bestFit="1" customWidth="1"/>
    <col min="10520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7" width="11.42578125" style="1" customWidth="1"/>
    <col min="10758" max="10758" width="13.140625" style="1" customWidth="1"/>
    <col min="10759" max="10759" width="11.140625" style="1" customWidth="1"/>
    <col min="10760" max="10760" width="10.7109375" style="1" customWidth="1"/>
    <col min="10761" max="10761" width="9" style="1" customWidth="1"/>
    <col min="10762" max="10762" width="9.140625" style="1" customWidth="1"/>
    <col min="10763" max="10763" width="10" style="1" customWidth="1"/>
    <col min="10764" max="10764" width="1.7109375" style="1" customWidth="1"/>
    <col min="10765" max="10765" width="12.42578125" style="1" customWidth="1"/>
    <col min="10766" max="10766" width="2" style="1" customWidth="1"/>
    <col min="10767" max="10767" width="13.85546875" style="1" customWidth="1"/>
    <col min="10768" max="10768" width="3.85546875" style="1" customWidth="1"/>
    <col min="10769" max="10769" width="13.5703125" style="1" bestFit="1" customWidth="1"/>
    <col min="10770" max="10770" width="12.5703125" style="1" customWidth="1"/>
    <col min="10771" max="10771" width="12.7109375" style="1" bestFit="1" customWidth="1"/>
    <col min="10772" max="10774" width="6.85546875" style="1"/>
    <col min="10775" max="10775" width="10.140625" style="1" bestFit="1" customWidth="1"/>
    <col min="10776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3" width="11.42578125" style="1" customWidth="1"/>
    <col min="11014" max="11014" width="13.140625" style="1" customWidth="1"/>
    <col min="11015" max="11015" width="11.140625" style="1" customWidth="1"/>
    <col min="11016" max="11016" width="10.7109375" style="1" customWidth="1"/>
    <col min="11017" max="11017" width="9" style="1" customWidth="1"/>
    <col min="11018" max="11018" width="9.140625" style="1" customWidth="1"/>
    <col min="11019" max="11019" width="10" style="1" customWidth="1"/>
    <col min="11020" max="11020" width="1.7109375" style="1" customWidth="1"/>
    <col min="11021" max="11021" width="12.42578125" style="1" customWidth="1"/>
    <col min="11022" max="11022" width="2" style="1" customWidth="1"/>
    <col min="11023" max="11023" width="13.85546875" style="1" customWidth="1"/>
    <col min="11024" max="11024" width="3.85546875" style="1" customWidth="1"/>
    <col min="11025" max="11025" width="13.5703125" style="1" bestFit="1" customWidth="1"/>
    <col min="11026" max="11026" width="12.5703125" style="1" customWidth="1"/>
    <col min="11027" max="11027" width="12.7109375" style="1" bestFit="1" customWidth="1"/>
    <col min="11028" max="11030" width="6.85546875" style="1"/>
    <col min="11031" max="11031" width="10.140625" style="1" bestFit="1" customWidth="1"/>
    <col min="11032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69" width="11.42578125" style="1" customWidth="1"/>
    <col min="11270" max="11270" width="13.140625" style="1" customWidth="1"/>
    <col min="11271" max="11271" width="11.140625" style="1" customWidth="1"/>
    <col min="11272" max="11272" width="10.7109375" style="1" customWidth="1"/>
    <col min="11273" max="11273" width="9" style="1" customWidth="1"/>
    <col min="11274" max="11274" width="9.140625" style="1" customWidth="1"/>
    <col min="11275" max="11275" width="10" style="1" customWidth="1"/>
    <col min="11276" max="11276" width="1.7109375" style="1" customWidth="1"/>
    <col min="11277" max="11277" width="12.42578125" style="1" customWidth="1"/>
    <col min="11278" max="11278" width="2" style="1" customWidth="1"/>
    <col min="11279" max="11279" width="13.85546875" style="1" customWidth="1"/>
    <col min="11280" max="11280" width="3.85546875" style="1" customWidth="1"/>
    <col min="11281" max="11281" width="13.5703125" style="1" bestFit="1" customWidth="1"/>
    <col min="11282" max="11282" width="12.5703125" style="1" customWidth="1"/>
    <col min="11283" max="11283" width="12.7109375" style="1" bestFit="1" customWidth="1"/>
    <col min="11284" max="11286" width="6.85546875" style="1"/>
    <col min="11287" max="11287" width="10.140625" style="1" bestFit="1" customWidth="1"/>
    <col min="11288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5" width="11.42578125" style="1" customWidth="1"/>
    <col min="11526" max="11526" width="13.140625" style="1" customWidth="1"/>
    <col min="11527" max="11527" width="11.140625" style="1" customWidth="1"/>
    <col min="11528" max="11528" width="10.7109375" style="1" customWidth="1"/>
    <col min="11529" max="11529" width="9" style="1" customWidth="1"/>
    <col min="11530" max="11530" width="9.140625" style="1" customWidth="1"/>
    <col min="11531" max="11531" width="10" style="1" customWidth="1"/>
    <col min="11532" max="11532" width="1.7109375" style="1" customWidth="1"/>
    <col min="11533" max="11533" width="12.42578125" style="1" customWidth="1"/>
    <col min="11534" max="11534" width="2" style="1" customWidth="1"/>
    <col min="11535" max="11535" width="13.85546875" style="1" customWidth="1"/>
    <col min="11536" max="11536" width="3.85546875" style="1" customWidth="1"/>
    <col min="11537" max="11537" width="13.5703125" style="1" bestFit="1" customWidth="1"/>
    <col min="11538" max="11538" width="12.5703125" style="1" customWidth="1"/>
    <col min="11539" max="11539" width="12.7109375" style="1" bestFit="1" customWidth="1"/>
    <col min="11540" max="11542" width="6.85546875" style="1"/>
    <col min="11543" max="11543" width="10.140625" style="1" bestFit="1" customWidth="1"/>
    <col min="11544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1" width="11.42578125" style="1" customWidth="1"/>
    <col min="11782" max="11782" width="13.140625" style="1" customWidth="1"/>
    <col min="11783" max="11783" width="11.140625" style="1" customWidth="1"/>
    <col min="11784" max="11784" width="10.7109375" style="1" customWidth="1"/>
    <col min="11785" max="11785" width="9" style="1" customWidth="1"/>
    <col min="11786" max="11786" width="9.140625" style="1" customWidth="1"/>
    <col min="11787" max="11787" width="10" style="1" customWidth="1"/>
    <col min="11788" max="11788" width="1.7109375" style="1" customWidth="1"/>
    <col min="11789" max="11789" width="12.42578125" style="1" customWidth="1"/>
    <col min="11790" max="11790" width="2" style="1" customWidth="1"/>
    <col min="11791" max="11791" width="13.85546875" style="1" customWidth="1"/>
    <col min="11792" max="11792" width="3.85546875" style="1" customWidth="1"/>
    <col min="11793" max="11793" width="13.5703125" style="1" bestFit="1" customWidth="1"/>
    <col min="11794" max="11794" width="12.5703125" style="1" customWidth="1"/>
    <col min="11795" max="11795" width="12.7109375" style="1" bestFit="1" customWidth="1"/>
    <col min="11796" max="11798" width="6.85546875" style="1"/>
    <col min="11799" max="11799" width="10.140625" style="1" bestFit="1" customWidth="1"/>
    <col min="11800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7" width="11.42578125" style="1" customWidth="1"/>
    <col min="12038" max="12038" width="13.140625" style="1" customWidth="1"/>
    <col min="12039" max="12039" width="11.140625" style="1" customWidth="1"/>
    <col min="12040" max="12040" width="10.7109375" style="1" customWidth="1"/>
    <col min="12041" max="12041" width="9" style="1" customWidth="1"/>
    <col min="12042" max="12042" width="9.140625" style="1" customWidth="1"/>
    <col min="12043" max="12043" width="10" style="1" customWidth="1"/>
    <col min="12044" max="12044" width="1.7109375" style="1" customWidth="1"/>
    <col min="12045" max="12045" width="12.42578125" style="1" customWidth="1"/>
    <col min="12046" max="12046" width="2" style="1" customWidth="1"/>
    <col min="12047" max="12047" width="13.85546875" style="1" customWidth="1"/>
    <col min="12048" max="12048" width="3.85546875" style="1" customWidth="1"/>
    <col min="12049" max="12049" width="13.5703125" style="1" bestFit="1" customWidth="1"/>
    <col min="12050" max="12050" width="12.5703125" style="1" customWidth="1"/>
    <col min="12051" max="12051" width="12.7109375" style="1" bestFit="1" customWidth="1"/>
    <col min="12052" max="12054" width="6.85546875" style="1"/>
    <col min="12055" max="12055" width="10.140625" style="1" bestFit="1" customWidth="1"/>
    <col min="12056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3" width="11.42578125" style="1" customWidth="1"/>
    <col min="12294" max="12294" width="13.140625" style="1" customWidth="1"/>
    <col min="12295" max="12295" width="11.140625" style="1" customWidth="1"/>
    <col min="12296" max="12296" width="10.7109375" style="1" customWidth="1"/>
    <col min="12297" max="12297" width="9" style="1" customWidth="1"/>
    <col min="12298" max="12298" width="9.140625" style="1" customWidth="1"/>
    <col min="12299" max="12299" width="10" style="1" customWidth="1"/>
    <col min="12300" max="12300" width="1.7109375" style="1" customWidth="1"/>
    <col min="12301" max="12301" width="12.42578125" style="1" customWidth="1"/>
    <col min="12302" max="12302" width="2" style="1" customWidth="1"/>
    <col min="12303" max="12303" width="13.85546875" style="1" customWidth="1"/>
    <col min="12304" max="12304" width="3.85546875" style="1" customWidth="1"/>
    <col min="12305" max="12305" width="13.5703125" style="1" bestFit="1" customWidth="1"/>
    <col min="12306" max="12306" width="12.5703125" style="1" customWidth="1"/>
    <col min="12307" max="12307" width="12.7109375" style="1" bestFit="1" customWidth="1"/>
    <col min="12308" max="12310" width="6.85546875" style="1"/>
    <col min="12311" max="12311" width="10.140625" style="1" bestFit="1" customWidth="1"/>
    <col min="12312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49" width="11.42578125" style="1" customWidth="1"/>
    <col min="12550" max="12550" width="13.140625" style="1" customWidth="1"/>
    <col min="12551" max="12551" width="11.140625" style="1" customWidth="1"/>
    <col min="12552" max="12552" width="10.7109375" style="1" customWidth="1"/>
    <col min="12553" max="12553" width="9" style="1" customWidth="1"/>
    <col min="12554" max="12554" width="9.140625" style="1" customWidth="1"/>
    <col min="12555" max="12555" width="10" style="1" customWidth="1"/>
    <col min="12556" max="12556" width="1.7109375" style="1" customWidth="1"/>
    <col min="12557" max="12557" width="12.42578125" style="1" customWidth="1"/>
    <col min="12558" max="12558" width="2" style="1" customWidth="1"/>
    <col min="12559" max="12559" width="13.85546875" style="1" customWidth="1"/>
    <col min="12560" max="12560" width="3.85546875" style="1" customWidth="1"/>
    <col min="12561" max="12561" width="13.5703125" style="1" bestFit="1" customWidth="1"/>
    <col min="12562" max="12562" width="12.5703125" style="1" customWidth="1"/>
    <col min="12563" max="12563" width="12.7109375" style="1" bestFit="1" customWidth="1"/>
    <col min="12564" max="12566" width="6.85546875" style="1"/>
    <col min="12567" max="12567" width="10.140625" style="1" bestFit="1" customWidth="1"/>
    <col min="12568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5" width="11.42578125" style="1" customWidth="1"/>
    <col min="12806" max="12806" width="13.140625" style="1" customWidth="1"/>
    <col min="12807" max="12807" width="11.140625" style="1" customWidth="1"/>
    <col min="12808" max="12808" width="10.7109375" style="1" customWidth="1"/>
    <col min="12809" max="12809" width="9" style="1" customWidth="1"/>
    <col min="12810" max="12810" width="9.140625" style="1" customWidth="1"/>
    <col min="12811" max="12811" width="10" style="1" customWidth="1"/>
    <col min="12812" max="12812" width="1.7109375" style="1" customWidth="1"/>
    <col min="12813" max="12813" width="12.42578125" style="1" customWidth="1"/>
    <col min="12814" max="12814" width="2" style="1" customWidth="1"/>
    <col min="12815" max="12815" width="13.85546875" style="1" customWidth="1"/>
    <col min="12816" max="12816" width="3.85546875" style="1" customWidth="1"/>
    <col min="12817" max="12817" width="13.5703125" style="1" bestFit="1" customWidth="1"/>
    <col min="12818" max="12818" width="12.5703125" style="1" customWidth="1"/>
    <col min="12819" max="12819" width="12.7109375" style="1" bestFit="1" customWidth="1"/>
    <col min="12820" max="12822" width="6.85546875" style="1"/>
    <col min="12823" max="12823" width="10.140625" style="1" bestFit="1" customWidth="1"/>
    <col min="12824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1" width="11.42578125" style="1" customWidth="1"/>
    <col min="13062" max="13062" width="13.140625" style="1" customWidth="1"/>
    <col min="13063" max="13063" width="11.140625" style="1" customWidth="1"/>
    <col min="13064" max="13064" width="10.7109375" style="1" customWidth="1"/>
    <col min="13065" max="13065" width="9" style="1" customWidth="1"/>
    <col min="13066" max="13066" width="9.140625" style="1" customWidth="1"/>
    <col min="13067" max="13067" width="10" style="1" customWidth="1"/>
    <col min="13068" max="13068" width="1.7109375" style="1" customWidth="1"/>
    <col min="13069" max="13069" width="12.42578125" style="1" customWidth="1"/>
    <col min="13070" max="13070" width="2" style="1" customWidth="1"/>
    <col min="13071" max="13071" width="13.85546875" style="1" customWidth="1"/>
    <col min="13072" max="13072" width="3.85546875" style="1" customWidth="1"/>
    <col min="13073" max="13073" width="13.5703125" style="1" bestFit="1" customWidth="1"/>
    <col min="13074" max="13074" width="12.5703125" style="1" customWidth="1"/>
    <col min="13075" max="13075" width="12.7109375" style="1" bestFit="1" customWidth="1"/>
    <col min="13076" max="13078" width="6.85546875" style="1"/>
    <col min="13079" max="13079" width="10.140625" style="1" bestFit="1" customWidth="1"/>
    <col min="13080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7" width="11.42578125" style="1" customWidth="1"/>
    <col min="13318" max="13318" width="13.140625" style="1" customWidth="1"/>
    <col min="13319" max="13319" width="11.140625" style="1" customWidth="1"/>
    <col min="13320" max="13320" width="10.7109375" style="1" customWidth="1"/>
    <col min="13321" max="13321" width="9" style="1" customWidth="1"/>
    <col min="13322" max="13322" width="9.140625" style="1" customWidth="1"/>
    <col min="13323" max="13323" width="10" style="1" customWidth="1"/>
    <col min="13324" max="13324" width="1.7109375" style="1" customWidth="1"/>
    <col min="13325" max="13325" width="12.42578125" style="1" customWidth="1"/>
    <col min="13326" max="13326" width="2" style="1" customWidth="1"/>
    <col min="13327" max="13327" width="13.85546875" style="1" customWidth="1"/>
    <col min="13328" max="13328" width="3.85546875" style="1" customWidth="1"/>
    <col min="13329" max="13329" width="13.5703125" style="1" bestFit="1" customWidth="1"/>
    <col min="13330" max="13330" width="12.5703125" style="1" customWidth="1"/>
    <col min="13331" max="13331" width="12.7109375" style="1" bestFit="1" customWidth="1"/>
    <col min="13332" max="13334" width="6.85546875" style="1"/>
    <col min="13335" max="13335" width="10.140625" style="1" bestFit="1" customWidth="1"/>
    <col min="13336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3" width="11.42578125" style="1" customWidth="1"/>
    <col min="13574" max="13574" width="13.140625" style="1" customWidth="1"/>
    <col min="13575" max="13575" width="11.140625" style="1" customWidth="1"/>
    <col min="13576" max="13576" width="10.7109375" style="1" customWidth="1"/>
    <col min="13577" max="13577" width="9" style="1" customWidth="1"/>
    <col min="13578" max="13578" width="9.140625" style="1" customWidth="1"/>
    <col min="13579" max="13579" width="10" style="1" customWidth="1"/>
    <col min="13580" max="13580" width="1.7109375" style="1" customWidth="1"/>
    <col min="13581" max="13581" width="12.42578125" style="1" customWidth="1"/>
    <col min="13582" max="13582" width="2" style="1" customWidth="1"/>
    <col min="13583" max="13583" width="13.85546875" style="1" customWidth="1"/>
    <col min="13584" max="13584" width="3.85546875" style="1" customWidth="1"/>
    <col min="13585" max="13585" width="13.5703125" style="1" bestFit="1" customWidth="1"/>
    <col min="13586" max="13586" width="12.5703125" style="1" customWidth="1"/>
    <col min="13587" max="13587" width="12.7109375" style="1" bestFit="1" customWidth="1"/>
    <col min="13588" max="13590" width="6.85546875" style="1"/>
    <col min="13591" max="13591" width="10.140625" style="1" bestFit="1" customWidth="1"/>
    <col min="13592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29" width="11.42578125" style="1" customWidth="1"/>
    <col min="13830" max="13830" width="13.140625" style="1" customWidth="1"/>
    <col min="13831" max="13831" width="11.140625" style="1" customWidth="1"/>
    <col min="13832" max="13832" width="10.7109375" style="1" customWidth="1"/>
    <col min="13833" max="13833" width="9" style="1" customWidth="1"/>
    <col min="13834" max="13834" width="9.140625" style="1" customWidth="1"/>
    <col min="13835" max="13835" width="10" style="1" customWidth="1"/>
    <col min="13836" max="13836" width="1.7109375" style="1" customWidth="1"/>
    <col min="13837" max="13837" width="12.42578125" style="1" customWidth="1"/>
    <col min="13838" max="13838" width="2" style="1" customWidth="1"/>
    <col min="13839" max="13839" width="13.85546875" style="1" customWidth="1"/>
    <col min="13840" max="13840" width="3.85546875" style="1" customWidth="1"/>
    <col min="13841" max="13841" width="13.5703125" style="1" bestFit="1" customWidth="1"/>
    <col min="13842" max="13842" width="12.5703125" style="1" customWidth="1"/>
    <col min="13843" max="13843" width="12.7109375" style="1" bestFit="1" customWidth="1"/>
    <col min="13844" max="13846" width="6.85546875" style="1"/>
    <col min="13847" max="13847" width="10.140625" style="1" bestFit="1" customWidth="1"/>
    <col min="13848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5" width="11.42578125" style="1" customWidth="1"/>
    <col min="14086" max="14086" width="13.140625" style="1" customWidth="1"/>
    <col min="14087" max="14087" width="11.140625" style="1" customWidth="1"/>
    <col min="14088" max="14088" width="10.7109375" style="1" customWidth="1"/>
    <col min="14089" max="14089" width="9" style="1" customWidth="1"/>
    <col min="14090" max="14090" width="9.140625" style="1" customWidth="1"/>
    <col min="14091" max="14091" width="10" style="1" customWidth="1"/>
    <col min="14092" max="14092" width="1.7109375" style="1" customWidth="1"/>
    <col min="14093" max="14093" width="12.42578125" style="1" customWidth="1"/>
    <col min="14094" max="14094" width="2" style="1" customWidth="1"/>
    <col min="14095" max="14095" width="13.85546875" style="1" customWidth="1"/>
    <col min="14096" max="14096" width="3.85546875" style="1" customWidth="1"/>
    <col min="14097" max="14097" width="13.5703125" style="1" bestFit="1" customWidth="1"/>
    <col min="14098" max="14098" width="12.5703125" style="1" customWidth="1"/>
    <col min="14099" max="14099" width="12.7109375" style="1" bestFit="1" customWidth="1"/>
    <col min="14100" max="14102" width="6.85546875" style="1"/>
    <col min="14103" max="14103" width="10.140625" style="1" bestFit="1" customWidth="1"/>
    <col min="14104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1" width="11.42578125" style="1" customWidth="1"/>
    <col min="14342" max="14342" width="13.140625" style="1" customWidth="1"/>
    <col min="14343" max="14343" width="11.140625" style="1" customWidth="1"/>
    <col min="14344" max="14344" width="10.7109375" style="1" customWidth="1"/>
    <col min="14345" max="14345" width="9" style="1" customWidth="1"/>
    <col min="14346" max="14346" width="9.140625" style="1" customWidth="1"/>
    <col min="14347" max="14347" width="10" style="1" customWidth="1"/>
    <col min="14348" max="14348" width="1.7109375" style="1" customWidth="1"/>
    <col min="14349" max="14349" width="12.42578125" style="1" customWidth="1"/>
    <col min="14350" max="14350" width="2" style="1" customWidth="1"/>
    <col min="14351" max="14351" width="13.85546875" style="1" customWidth="1"/>
    <col min="14352" max="14352" width="3.85546875" style="1" customWidth="1"/>
    <col min="14353" max="14353" width="13.5703125" style="1" bestFit="1" customWidth="1"/>
    <col min="14354" max="14354" width="12.5703125" style="1" customWidth="1"/>
    <col min="14355" max="14355" width="12.7109375" style="1" bestFit="1" customWidth="1"/>
    <col min="14356" max="14358" width="6.85546875" style="1"/>
    <col min="14359" max="14359" width="10.140625" style="1" bestFit="1" customWidth="1"/>
    <col min="14360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7" width="11.42578125" style="1" customWidth="1"/>
    <col min="14598" max="14598" width="13.140625" style="1" customWidth="1"/>
    <col min="14599" max="14599" width="11.140625" style="1" customWidth="1"/>
    <col min="14600" max="14600" width="10.7109375" style="1" customWidth="1"/>
    <col min="14601" max="14601" width="9" style="1" customWidth="1"/>
    <col min="14602" max="14602" width="9.140625" style="1" customWidth="1"/>
    <col min="14603" max="14603" width="10" style="1" customWidth="1"/>
    <col min="14604" max="14604" width="1.7109375" style="1" customWidth="1"/>
    <col min="14605" max="14605" width="12.42578125" style="1" customWidth="1"/>
    <col min="14606" max="14606" width="2" style="1" customWidth="1"/>
    <col min="14607" max="14607" width="13.85546875" style="1" customWidth="1"/>
    <col min="14608" max="14608" width="3.85546875" style="1" customWidth="1"/>
    <col min="14609" max="14609" width="13.5703125" style="1" bestFit="1" customWidth="1"/>
    <col min="14610" max="14610" width="12.5703125" style="1" customWidth="1"/>
    <col min="14611" max="14611" width="12.7109375" style="1" bestFit="1" customWidth="1"/>
    <col min="14612" max="14614" width="6.85546875" style="1"/>
    <col min="14615" max="14615" width="10.140625" style="1" bestFit="1" customWidth="1"/>
    <col min="14616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3" width="11.42578125" style="1" customWidth="1"/>
    <col min="14854" max="14854" width="13.140625" style="1" customWidth="1"/>
    <col min="14855" max="14855" width="11.140625" style="1" customWidth="1"/>
    <col min="14856" max="14856" width="10.7109375" style="1" customWidth="1"/>
    <col min="14857" max="14857" width="9" style="1" customWidth="1"/>
    <col min="14858" max="14858" width="9.140625" style="1" customWidth="1"/>
    <col min="14859" max="14859" width="10" style="1" customWidth="1"/>
    <col min="14860" max="14860" width="1.7109375" style="1" customWidth="1"/>
    <col min="14861" max="14861" width="12.42578125" style="1" customWidth="1"/>
    <col min="14862" max="14862" width="2" style="1" customWidth="1"/>
    <col min="14863" max="14863" width="13.85546875" style="1" customWidth="1"/>
    <col min="14864" max="14864" width="3.85546875" style="1" customWidth="1"/>
    <col min="14865" max="14865" width="13.5703125" style="1" bestFit="1" customWidth="1"/>
    <col min="14866" max="14866" width="12.5703125" style="1" customWidth="1"/>
    <col min="14867" max="14867" width="12.7109375" style="1" bestFit="1" customWidth="1"/>
    <col min="14868" max="14870" width="6.85546875" style="1"/>
    <col min="14871" max="14871" width="10.140625" style="1" bestFit="1" customWidth="1"/>
    <col min="14872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09" width="11.42578125" style="1" customWidth="1"/>
    <col min="15110" max="15110" width="13.140625" style="1" customWidth="1"/>
    <col min="15111" max="15111" width="11.140625" style="1" customWidth="1"/>
    <col min="15112" max="15112" width="10.7109375" style="1" customWidth="1"/>
    <col min="15113" max="15113" width="9" style="1" customWidth="1"/>
    <col min="15114" max="15114" width="9.140625" style="1" customWidth="1"/>
    <col min="15115" max="15115" width="10" style="1" customWidth="1"/>
    <col min="15116" max="15116" width="1.7109375" style="1" customWidth="1"/>
    <col min="15117" max="15117" width="12.42578125" style="1" customWidth="1"/>
    <col min="15118" max="15118" width="2" style="1" customWidth="1"/>
    <col min="15119" max="15119" width="13.85546875" style="1" customWidth="1"/>
    <col min="15120" max="15120" width="3.85546875" style="1" customWidth="1"/>
    <col min="15121" max="15121" width="13.5703125" style="1" bestFit="1" customWidth="1"/>
    <col min="15122" max="15122" width="12.5703125" style="1" customWidth="1"/>
    <col min="15123" max="15123" width="12.7109375" style="1" bestFit="1" customWidth="1"/>
    <col min="15124" max="15126" width="6.85546875" style="1"/>
    <col min="15127" max="15127" width="10.140625" style="1" bestFit="1" customWidth="1"/>
    <col min="15128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5" width="11.42578125" style="1" customWidth="1"/>
    <col min="15366" max="15366" width="13.140625" style="1" customWidth="1"/>
    <col min="15367" max="15367" width="11.140625" style="1" customWidth="1"/>
    <col min="15368" max="15368" width="10.7109375" style="1" customWidth="1"/>
    <col min="15369" max="15369" width="9" style="1" customWidth="1"/>
    <col min="15370" max="15370" width="9.140625" style="1" customWidth="1"/>
    <col min="15371" max="15371" width="10" style="1" customWidth="1"/>
    <col min="15372" max="15372" width="1.7109375" style="1" customWidth="1"/>
    <col min="15373" max="15373" width="12.42578125" style="1" customWidth="1"/>
    <col min="15374" max="15374" width="2" style="1" customWidth="1"/>
    <col min="15375" max="15375" width="13.85546875" style="1" customWidth="1"/>
    <col min="15376" max="15376" width="3.85546875" style="1" customWidth="1"/>
    <col min="15377" max="15377" width="13.5703125" style="1" bestFit="1" customWidth="1"/>
    <col min="15378" max="15378" width="12.5703125" style="1" customWidth="1"/>
    <col min="15379" max="15379" width="12.7109375" style="1" bestFit="1" customWidth="1"/>
    <col min="15380" max="15382" width="6.85546875" style="1"/>
    <col min="15383" max="15383" width="10.140625" style="1" bestFit="1" customWidth="1"/>
    <col min="15384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1" width="11.42578125" style="1" customWidth="1"/>
    <col min="15622" max="15622" width="13.140625" style="1" customWidth="1"/>
    <col min="15623" max="15623" width="11.140625" style="1" customWidth="1"/>
    <col min="15624" max="15624" width="10.7109375" style="1" customWidth="1"/>
    <col min="15625" max="15625" width="9" style="1" customWidth="1"/>
    <col min="15626" max="15626" width="9.140625" style="1" customWidth="1"/>
    <col min="15627" max="15627" width="10" style="1" customWidth="1"/>
    <col min="15628" max="15628" width="1.7109375" style="1" customWidth="1"/>
    <col min="15629" max="15629" width="12.42578125" style="1" customWidth="1"/>
    <col min="15630" max="15630" width="2" style="1" customWidth="1"/>
    <col min="15631" max="15631" width="13.85546875" style="1" customWidth="1"/>
    <col min="15632" max="15632" width="3.85546875" style="1" customWidth="1"/>
    <col min="15633" max="15633" width="13.5703125" style="1" bestFit="1" customWidth="1"/>
    <col min="15634" max="15634" width="12.5703125" style="1" customWidth="1"/>
    <col min="15635" max="15635" width="12.7109375" style="1" bestFit="1" customWidth="1"/>
    <col min="15636" max="15638" width="6.85546875" style="1"/>
    <col min="15639" max="15639" width="10.140625" style="1" bestFit="1" customWidth="1"/>
    <col min="15640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7" width="11.42578125" style="1" customWidth="1"/>
    <col min="15878" max="15878" width="13.140625" style="1" customWidth="1"/>
    <col min="15879" max="15879" width="11.140625" style="1" customWidth="1"/>
    <col min="15880" max="15880" width="10.7109375" style="1" customWidth="1"/>
    <col min="15881" max="15881" width="9" style="1" customWidth="1"/>
    <col min="15882" max="15882" width="9.140625" style="1" customWidth="1"/>
    <col min="15883" max="15883" width="10" style="1" customWidth="1"/>
    <col min="15884" max="15884" width="1.7109375" style="1" customWidth="1"/>
    <col min="15885" max="15885" width="12.42578125" style="1" customWidth="1"/>
    <col min="15886" max="15886" width="2" style="1" customWidth="1"/>
    <col min="15887" max="15887" width="13.85546875" style="1" customWidth="1"/>
    <col min="15888" max="15888" width="3.85546875" style="1" customWidth="1"/>
    <col min="15889" max="15889" width="13.5703125" style="1" bestFit="1" customWidth="1"/>
    <col min="15890" max="15890" width="12.5703125" style="1" customWidth="1"/>
    <col min="15891" max="15891" width="12.7109375" style="1" bestFit="1" customWidth="1"/>
    <col min="15892" max="15894" width="6.85546875" style="1"/>
    <col min="15895" max="15895" width="10.140625" style="1" bestFit="1" customWidth="1"/>
    <col min="15896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3" width="11.42578125" style="1" customWidth="1"/>
    <col min="16134" max="16134" width="13.140625" style="1" customWidth="1"/>
    <col min="16135" max="16135" width="11.140625" style="1" customWidth="1"/>
    <col min="16136" max="16136" width="10.7109375" style="1" customWidth="1"/>
    <col min="16137" max="16137" width="9" style="1" customWidth="1"/>
    <col min="16138" max="16138" width="9.140625" style="1" customWidth="1"/>
    <col min="16139" max="16139" width="10" style="1" customWidth="1"/>
    <col min="16140" max="16140" width="1.7109375" style="1" customWidth="1"/>
    <col min="16141" max="16141" width="12.42578125" style="1" customWidth="1"/>
    <col min="16142" max="16142" width="2" style="1" customWidth="1"/>
    <col min="16143" max="16143" width="13.85546875" style="1" customWidth="1"/>
    <col min="16144" max="16144" width="3.85546875" style="1" customWidth="1"/>
    <col min="16145" max="16145" width="13.5703125" style="1" bestFit="1" customWidth="1"/>
    <col min="16146" max="16146" width="12.5703125" style="1" customWidth="1"/>
    <col min="16147" max="16147" width="12.7109375" style="1" bestFit="1" customWidth="1"/>
    <col min="16148" max="16150" width="6.85546875" style="1"/>
    <col min="16151" max="16151" width="10.140625" style="1" bestFit="1" customWidth="1"/>
    <col min="16152" max="16384" width="6.85546875" style="1"/>
  </cols>
  <sheetData>
    <row r="1" spans="1:23" ht="48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2">
        <f ca="1">YEAR(TODAY())-1</f>
        <v>2024</v>
      </c>
      <c r="Q1" s="1"/>
    </row>
    <row r="2" spans="1:23" ht="33" customHeight="1" x14ac:dyDescent="0.2">
      <c r="A2" s="3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8"/>
      <c r="L2" s="4"/>
      <c r="M2" s="5" t="s">
        <v>2</v>
      </c>
      <c r="Q2" s="6" t="s">
        <v>3</v>
      </c>
      <c r="R2" s="7" t="s">
        <v>4</v>
      </c>
    </row>
    <row r="3" spans="1:23" ht="81" customHeight="1" x14ac:dyDescent="0.2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3" t="s">
        <v>12</v>
      </c>
      <c r="I3" s="14" t="s">
        <v>13</v>
      </c>
      <c r="J3" s="13" t="s">
        <v>14</v>
      </c>
      <c r="K3" s="15" t="s">
        <v>15</v>
      </c>
      <c r="L3" s="16"/>
      <c r="M3" s="11" t="s">
        <v>16</v>
      </c>
      <c r="N3" s="17"/>
      <c r="O3" s="11" t="s">
        <v>17</v>
      </c>
      <c r="P3" s="18"/>
      <c r="Q3" s="19" t="s">
        <v>18</v>
      </c>
      <c r="R3" s="20" t="s">
        <v>19</v>
      </c>
      <c r="S3" s="21" t="s">
        <v>20</v>
      </c>
    </row>
    <row r="4" spans="1:23" ht="15" customHeight="1" x14ac:dyDescent="0.25">
      <c r="A4" s="22" t="s">
        <v>21</v>
      </c>
      <c r="B4" s="23">
        <v>817120</v>
      </c>
      <c r="C4" s="24"/>
      <c r="D4" s="25"/>
      <c r="E4" s="26"/>
      <c r="F4" s="25"/>
      <c r="G4" s="27">
        <v>27010</v>
      </c>
      <c r="H4" s="25">
        <v>18750</v>
      </c>
      <c r="I4" s="25"/>
      <c r="J4" s="25"/>
      <c r="K4" s="28">
        <v>248</v>
      </c>
      <c r="L4" s="25"/>
      <c r="M4" s="28">
        <v>53010</v>
      </c>
      <c r="N4" s="29"/>
      <c r="O4" s="30">
        <f t="shared" ref="O4:O35" si="0">SUM(B4:M4)</f>
        <v>916138</v>
      </c>
      <c r="P4" s="18"/>
      <c r="Q4" s="31">
        <f>(S4-M4)</f>
        <v>37410</v>
      </c>
      <c r="R4" s="32"/>
      <c r="S4" s="33">
        <v>90420</v>
      </c>
    </row>
    <row r="5" spans="1:23" ht="15" customHeight="1" x14ac:dyDescent="0.25">
      <c r="A5" s="22" t="s">
        <v>22</v>
      </c>
      <c r="B5" s="23">
        <v>515280</v>
      </c>
      <c r="C5" s="24"/>
      <c r="D5" s="25"/>
      <c r="E5" s="26">
        <v>1382530</v>
      </c>
      <c r="F5" s="25"/>
      <c r="G5" s="27">
        <v>35050</v>
      </c>
      <c r="H5" s="25">
        <v>23050</v>
      </c>
      <c r="I5" s="25"/>
      <c r="J5" s="25"/>
      <c r="K5" s="28">
        <v>507</v>
      </c>
      <c r="L5" s="25"/>
      <c r="M5" s="28">
        <v>212480</v>
      </c>
      <c r="N5" s="29"/>
      <c r="O5" s="30">
        <f t="shared" si="0"/>
        <v>2168897</v>
      </c>
      <c r="P5" s="18"/>
      <c r="Q5" s="31">
        <f t="shared" ref="Q5:Q68" si="1">(S5-M5)</f>
        <v>119260</v>
      </c>
      <c r="R5" s="32"/>
      <c r="S5" s="33">
        <v>331740</v>
      </c>
      <c r="U5" s="1">
        <v>1000</v>
      </c>
    </row>
    <row r="6" spans="1:23" ht="15" customHeight="1" x14ac:dyDescent="0.25">
      <c r="A6" s="22" t="s">
        <v>23</v>
      </c>
      <c r="B6" s="23">
        <v>1633250</v>
      </c>
      <c r="C6" s="24"/>
      <c r="D6" s="25"/>
      <c r="E6" s="26"/>
      <c r="F6" s="25">
        <v>266470</v>
      </c>
      <c r="G6" s="27">
        <v>50990</v>
      </c>
      <c r="H6" s="25"/>
      <c r="I6" s="25"/>
      <c r="J6" s="25"/>
      <c r="K6" s="28">
        <v>1911</v>
      </c>
      <c r="L6" s="25"/>
      <c r="M6" s="28">
        <v>201140</v>
      </c>
      <c r="N6" s="29"/>
      <c r="O6" s="30">
        <f t="shared" si="0"/>
        <v>2153761</v>
      </c>
      <c r="P6" s="18"/>
      <c r="Q6" s="31">
        <f t="shared" si="1"/>
        <v>112900</v>
      </c>
      <c r="R6" s="32"/>
      <c r="S6" s="33">
        <v>314040</v>
      </c>
    </row>
    <row r="7" spans="1:23" ht="25.5" customHeight="1" x14ac:dyDescent="0.25">
      <c r="A7" s="22" t="s">
        <v>24</v>
      </c>
      <c r="B7" s="23">
        <v>1583660</v>
      </c>
      <c r="C7" s="24"/>
      <c r="D7" s="25"/>
      <c r="E7" s="26"/>
      <c r="F7" s="25">
        <v>333030</v>
      </c>
      <c r="G7" s="27">
        <v>8510</v>
      </c>
      <c r="H7" s="25"/>
      <c r="I7" s="25"/>
      <c r="J7" s="25"/>
      <c r="K7" s="28">
        <v>648</v>
      </c>
      <c r="L7" s="25"/>
      <c r="M7" s="28">
        <v>78760</v>
      </c>
      <c r="N7" s="29"/>
      <c r="O7" s="30">
        <f t="shared" si="0"/>
        <v>2004608</v>
      </c>
      <c r="P7" s="18"/>
      <c r="Q7" s="31">
        <f t="shared" si="1"/>
        <v>77390</v>
      </c>
      <c r="R7" s="32"/>
      <c r="S7" s="33">
        <v>156150</v>
      </c>
    </row>
    <row r="8" spans="1:23" ht="15" customHeight="1" x14ac:dyDescent="0.25">
      <c r="A8" s="22" t="s">
        <v>25</v>
      </c>
      <c r="B8" s="23">
        <v>167000</v>
      </c>
      <c r="C8" s="34"/>
      <c r="D8" s="25"/>
      <c r="E8" s="26"/>
      <c r="F8" s="25"/>
      <c r="G8" s="27"/>
      <c r="H8" s="25"/>
      <c r="I8" s="25"/>
      <c r="J8" s="25"/>
      <c r="K8" s="28">
        <v>0</v>
      </c>
      <c r="L8" s="25"/>
      <c r="M8" s="28">
        <v>0</v>
      </c>
      <c r="N8" s="29"/>
      <c r="O8" s="30">
        <f t="shared" si="0"/>
        <v>167000</v>
      </c>
      <c r="P8" s="18"/>
      <c r="Q8" s="31">
        <f t="shared" si="1"/>
        <v>0</v>
      </c>
      <c r="R8" s="32"/>
      <c r="S8" s="33">
        <v>0</v>
      </c>
    </row>
    <row r="9" spans="1:23" ht="15" customHeight="1" x14ac:dyDescent="0.25">
      <c r="A9" s="22" t="s">
        <v>26</v>
      </c>
      <c r="B9" s="23">
        <v>13609200</v>
      </c>
      <c r="C9" s="24"/>
      <c r="D9" s="25">
        <v>170900</v>
      </c>
      <c r="E9" s="26">
        <v>358460</v>
      </c>
      <c r="F9" s="25">
        <v>11116560</v>
      </c>
      <c r="G9" s="27">
        <v>115830</v>
      </c>
      <c r="H9" s="25">
        <v>334080</v>
      </c>
      <c r="I9" s="25">
        <v>65280</v>
      </c>
      <c r="J9" s="25"/>
      <c r="K9" s="28">
        <v>0</v>
      </c>
      <c r="L9" s="25"/>
      <c r="M9" s="28">
        <v>843900</v>
      </c>
      <c r="N9" s="29"/>
      <c r="O9" s="30">
        <f t="shared" si="0"/>
        <v>26614210</v>
      </c>
      <c r="P9" s="18"/>
      <c r="Q9" s="31">
        <f t="shared" si="1"/>
        <v>1512180</v>
      </c>
      <c r="R9" s="32"/>
      <c r="S9" s="33">
        <v>2356080</v>
      </c>
    </row>
    <row r="10" spans="1:23" ht="15" customHeight="1" x14ac:dyDescent="0.25">
      <c r="A10" s="22" t="s">
        <v>27</v>
      </c>
      <c r="B10" s="23">
        <v>847510</v>
      </c>
      <c r="C10" s="24"/>
      <c r="D10" s="25"/>
      <c r="E10" s="26">
        <v>770200</v>
      </c>
      <c r="F10" s="25">
        <v>437880</v>
      </c>
      <c r="G10" s="27">
        <v>23240</v>
      </c>
      <c r="H10" s="25"/>
      <c r="I10" s="25"/>
      <c r="J10" s="25"/>
      <c r="K10" s="28">
        <v>629</v>
      </c>
      <c r="L10" s="25"/>
      <c r="M10" s="28">
        <v>162110</v>
      </c>
      <c r="N10" s="29"/>
      <c r="O10" s="30">
        <f t="shared" si="0"/>
        <v>2241569</v>
      </c>
      <c r="P10" s="18"/>
      <c r="Q10" s="31">
        <f t="shared" si="1"/>
        <v>114410</v>
      </c>
      <c r="R10" s="32"/>
      <c r="S10" s="33">
        <v>276520</v>
      </c>
    </row>
    <row r="11" spans="1:23" ht="15" customHeight="1" x14ac:dyDescent="0.25">
      <c r="A11" s="22" t="s">
        <v>28</v>
      </c>
      <c r="B11" s="23">
        <v>175020</v>
      </c>
      <c r="C11" s="24"/>
      <c r="D11" s="25"/>
      <c r="E11" s="26">
        <v>792350</v>
      </c>
      <c r="F11" s="25"/>
      <c r="G11" s="27"/>
      <c r="H11" s="25"/>
      <c r="I11" s="25"/>
      <c r="J11" s="25"/>
      <c r="K11" s="28">
        <v>0</v>
      </c>
      <c r="L11" s="25"/>
      <c r="M11" s="28">
        <v>28520</v>
      </c>
      <c r="N11" s="29"/>
      <c r="O11" s="30">
        <f t="shared" si="0"/>
        <v>995890</v>
      </c>
      <c r="P11" s="18"/>
      <c r="Q11" s="31">
        <f t="shared" si="1"/>
        <v>25290</v>
      </c>
      <c r="R11" s="32"/>
      <c r="S11" s="33">
        <f>(16.8+37.01)*1000</f>
        <v>53810</v>
      </c>
    </row>
    <row r="12" spans="1:23" ht="15" customHeight="1" x14ac:dyDescent="0.25">
      <c r="A12" s="22" t="s">
        <v>29</v>
      </c>
      <c r="B12" s="23">
        <v>968980</v>
      </c>
      <c r="C12" s="24">
        <v>709850</v>
      </c>
      <c r="D12" s="25"/>
      <c r="E12" s="26">
        <v>6000</v>
      </c>
      <c r="F12" s="25"/>
      <c r="G12" s="27"/>
      <c r="H12" s="25">
        <v>73150</v>
      </c>
      <c r="I12" s="25"/>
      <c r="J12" s="25"/>
      <c r="K12" s="28">
        <v>625</v>
      </c>
      <c r="L12" s="25"/>
      <c r="M12" s="28">
        <v>102630</v>
      </c>
      <c r="N12" s="29"/>
      <c r="O12" s="30">
        <f t="shared" si="0"/>
        <v>1861235</v>
      </c>
      <c r="P12" s="18"/>
      <c r="Q12" s="31">
        <f t="shared" si="1"/>
        <v>99120</v>
      </c>
      <c r="R12" s="32"/>
      <c r="S12" s="33">
        <f>(6.44+195.31)*1000</f>
        <v>201750</v>
      </c>
    </row>
    <row r="13" spans="1:23" ht="24" customHeight="1" x14ac:dyDescent="0.25">
      <c r="A13" s="22" t="s">
        <v>30</v>
      </c>
      <c r="B13" s="23">
        <v>2150280</v>
      </c>
      <c r="C13" s="24"/>
      <c r="D13" s="25"/>
      <c r="E13" s="26"/>
      <c r="F13" s="25">
        <v>788750</v>
      </c>
      <c r="G13" s="27"/>
      <c r="H13" s="25">
        <v>20720</v>
      </c>
      <c r="I13" s="25"/>
      <c r="J13" s="25"/>
      <c r="K13" s="28">
        <v>148</v>
      </c>
      <c r="L13" s="25"/>
      <c r="M13" s="28">
        <v>272950</v>
      </c>
      <c r="N13" s="29"/>
      <c r="O13" s="30">
        <f t="shared" si="0"/>
        <v>3232848</v>
      </c>
      <c r="P13" s="18"/>
      <c r="Q13" s="31">
        <f t="shared" si="1"/>
        <v>223210</v>
      </c>
      <c r="R13" s="32"/>
      <c r="S13" s="33">
        <v>496160</v>
      </c>
    </row>
    <row r="14" spans="1:23" ht="22.5" customHeight="1" x14ac:dyDescent="0.25">
      <c r="A14" s="22" t="s">
        <v>31</v>
      </c>
      <c r="B14" s="23">
        <v>1513010</v>
      </c>
      <c r="C14" s="24">
        <v>382430</v>
      </c>
      <c r="D14" s="25"/>
      <c r="E14" s="26"/>
      <c r="F14" s="25"/>
      <c r="G14" s="27"/>
      <c r="H14" s="25">
        <v>8720</v>
      </c>
      <c r="I14" s="25"/>
      <c r="J14" s="25"/>
      <c r="K14" s="28">
        <v>354</v>
      </c>
      <c r="L14" s="25"/>
      <c r="M14" s="28">
        <v>24050</v>
      </c>
      <c r="N14" s="29"/>
      <c r="O14" s="30">
        <f t="shared" si="0"/>
        <v>1928564</v>
      </c>
      <c r="P14" s="18"/>
      <c r="Q14" s="31">
        <f t="shared" si="1"/>
        <v>16970</v>
      </c>
      <c r="R14" s="32"/>
      <c r="S14" s="33">
        <v>41020</v>
      </c>
    </row>
    <row r="15" spans="1:23" ht="21" customHeight="1" x14ac:dyDescent="0.25">
      <c r="A15" s="22" t="s">
        <v>32</v>
      </c>
      <c r="B15" s="23">
        <v>4087860</v>
      </c>
      <c r="C15" s="24">
        <v>420100</v>
      </c>
      <c r="D15" s="25">
        <v>950920</v>
      </c>
      <c r="E15" s="26"/>
      <c r="F15" s="25">
        <v>349560</v>
      </c>
      <c r="G15" s="27">
        <v>20110</v>
      </c>
      <c r="H15" s="25">
        <v>45600</v>
      </c>
      <c r="I15" s="25"/>
      <c r="J15" s="25">
        <v>16640</v>
      </c>
      <c r="K15" s="28">
        <v>391</v>
      </c>
      <c r="L15" s="25"/>
      <c r="M15" s="28">
        <v>137590</v>
      </c>
      <c r="N15" s="29"/>
      <c r="O15" s="30">
        <f t="shared" si="0"/>
        <v>6028771</v>
      </c>
      <c r="P15" s="18"/>
      <c r="Q15" s="31">
        <f t="shared" si="1"/>
        <v>135220</v>
      </c>
      <c r="R15" s="32"/>
      <c r="S15" s="33">
        <v>272810</v>
      </c>
    </row>
    <row r="16" spans="1:23" ht="30" customHeight="1" x14ac:dyDescent="0.25">
      <c r="A16" s="22" t="s">
        <v>33</v>
      </c>
      <c r="B16" s="23">
        <v>2769990</v>
      </c>
      <c r="C16" s="24"/>
      <c r="D16" s="25"/>
      <c r="E16" s="26"/>
      <c r="F16" s="25"/>
      <c r="G16" s="27"/>
      <c r="H16" s="25"/>
      <c r="I16" s="25"/>
      <c r="J16" s="25"/>
      <c r="K16" s="28">
        <v>704</v>
      </c>
      <c r="L16" s="25"/>
      <c r="M16" s="28">
        <v>307680</v>
      </c>
      <c r="N16" s="29"/>
      <c r="O16" s="30">
        <f t="shared" si="0"/>
        <v>3078374</v>
      </c>
      <c r="P16" s="18"/>
      <c r="Q16" s="31">
        <f t="shared" si="1"/>
        <v>172700</v>
      </c>
      <c r="R16" s="32"/>
      <c r="S16" s="33">
        <v>480380</v>
      </c>
      <c r="W16" s="35"/>
    </row>
    <row r="17" spans="1:19" ht="15" customHeight="1" x14ac:dyDescent="0.25">
      <c r="A17" s="22" t="s">
        <v>34</v>
      </c>
      <c r="B17" s="23">
        <v>829280</v>
      </c>
      <c r="C17" s="24"/>
      <c r="D17" s="25"/>
      <c r="E17" s="26"/>
      <c r="F17" s="25"/>
      <c r="G17" s="27">
        <v>53280</v>
      </c>
      <c r="H17" s="25"/>
      <c r="I17" s="25">
        <v>11320</v>
      </c>
      <c r="J17" s="25">
        <v>170250</v>
      </c>
      <c r="K17" s="28">
        <v>488</v>
      </c>
      <c r="L17" s="25"/>
      <c r="M17" s="28">
        <v>0</v>
      </c>
      <c r="N17" s="29"/>
      <c r="O17" s="30">
        <f t="shared" si="0"/>
        <v>1064618</v>
      </c>
      <c r="P17" s="18"/>
      <c r="Q17" s="31">
        <f t="shared" si="1"/>
        <v>0</v>
      </c>
      <c r="R17" s="32"/>
      <c r="S17" s="33">
        <v>0</v>
      </c>
    </row>
    <row r="18" spans="1:19" ht="15" customHeight="1" x14ac:dyDescent="0.25">
      <c r="A18" s="22" t="s">
        <v>35</v>
      </c>
      <c r="B18" s="23">
        <v>1538860</v>
      </c>
      <c r="C18" s="24"/>
      <c r="D18" s="25"/>
      <c r="E18" s="26"/>
      <c r="F18" s="25"/>
      <c r="G18" s="27">
        <v>21410</v>
      </c>
      <c r="H18" s="25">
        <v>27420</v>
      </c>
      <c r="I18" s="25"/>
      <c r="J18" s="25"/>
      <c r="K18" s="28">
        <v>0</v>
      </c>
      <c r="L18" s="25"/>
      <c r="M18" s="28">
        <v>0</v>
      </c>
      <c r="N18" s="29"/>
      <c r="O18" s="30">
        <f t="shared" si="0"/>
        <v>1587690</v>
      </c>
      <c r="P18" s="18"/>
      <c r="Q18" s="31">
        <f t="shared" si="1"/>
        <v>0</v>
      </c>
      <c r="R18" s="32"/>
      <c r="S18" s="33">
        <v>0</v>
      </c>
    </row>
    <row r="19" spans="1:19" ht="15" customHeight="1" x14ac:dyDescent="0.25">
      <c r="A19" s="22" t="s">
        <v>36</v>
      </c>
      <c r="B19" s="23">
        <v>1229800</v>
      </c>
      <c r="C19" s="24"/>
      <c r="D19" s="25"/>
      <c r="E19" s="26"/>
      <c r="F19" s="25">
        <v>233020</v>
      </c>
      <c r="G19" s="27">
        <v>6200</v>
      </c>
      <c r="H19" s="25"/>
      <c r="I19" s="25"/>
      <c r="J19" s="25"/>
      <c r="K19" s="28">
        <v>0</v>
      </c>
      <c r="L19" s="25"/>
      <c r="M19" s="28">
        <v>80000</v>
      </c>
      <c r="N19" s="29"/>
      <c r="O19" s="30">
        <f t="shared" si="0"/>
        <v>1549020</v>
      </c>
      <c r="P19" s="18"/>
      <c r="Q19" s="31">
        <f t="shared" si="1"/>
        <v>78610</v>
      </c>
      <c r="R19" s="32"/>
      <c r="S19" s="33">
        <v>158610</v>
      </c>
    </row>
    <row r="20" spans="1:19" ht="15" customHeight="1" x14ac:dyDescent="0.25">
      <c r="A20" s="22" t="s">
        <v>37</v>
      </c>
      <c r="B20" s="23">
        <v>4007240</v>
      </c>
      <c r="C20" s="24"/>
      <c r="D20" s="25"/>
      <c r="E20" s="26"/>
      <c r="F20" s="25"/>
      <c r="G20" s="27">
        <v>69530</v>
      </c>
      <c r="H20" s="25">
        <v>16590</v>
      </c>
      <c r="I20" s="25"/>
      <c r="J20" s="25"/>
      <c r="K20" s="28">
        <v>430</v>
      </c>
      <c r="L20" s="25"/>
      <c r="M20" s="28">
        <v>390070</v>
      </c>
      <c r="N20" s="29"/>
      <c r="O20" s="30">
        <f t="shared" si="0"/>
        <v>4483860</v>
      </c>
      <c r="P20" s="18"/>
      <c r="Q20" s="31">
        <f t="shared" si="1"/>
        <v>218950</v>
      </c>
      <c r="R20" s="32"/>
      <c r="S20" s="33">
        <v>609020</v>
      </c>
    </row>
    <row r="21" spans="1:19" ht="15" customHeight="1" x14ac:dyDescent="0.25">
      <c r="A21" s="22" t="s">
        <v>38</v>
      </c>
      <c r="B21" s="23">
        <v>459300</v>
      </c>
      <c r="C21" s="24"/>
      <c r="D21" s="25"/>
      <c r="E21" s="26">
        <v>516250</v>
      </c>
      <c r="F21" s="25"/>
      <c r="G21" s="27">
        <v>16190</v>
      </c>
      <c r="H21" s="25">
        <v>6880</v>
      </c>
      <c r="I21" s="25"/>
      <c r="J21" s="25"/>
      <c r="K21" s="28">
        <v>0</v>
      </c>
      <c r="L21" s="25"/>
      <c r="M21" s="28">
        <v>43510</v>
      </c>
      <c r="N21" s="29"/>
      <c r="O21" s="30">
        <f t="shared" si="0"/>
        <v>1042130</v>
      </c>
      <c r="P21" s="18"/>
      <c r="Q21" s="31">
        <f t="shared" si="1"/>
        <v>24430</v>
      </c>
      <c r="R21" s="32"/>
      <c r="S21" s="33">
        <v>67940</v>
      </c>
    </row>
    <row r="22" spans="1:19" ht="20.25" customHeight="1" x14ac:dyDescent="0.25">
      <c r="A22" s="22" t="s">
        <v>39</v>
      </c>
      <c r="B22" s="23">
        <v>1734650</v>
      </c>
      <c r="C22" s="24">
        <v>1080340</v>
      </c>
      <c r="D22" s="25"/>
      <c r="E22" s="26"/>
      <c r="F22" s="25"/>
      <c r="G22" s="27">
        <v>499460</v>
      </c>
      <c r="H22" s="25"/>
      <c r="I22" s="25"/>
      <c r="J22" s="25"/>
      <c r="K22" s="28">
        <v>0</v>
      </c>
      <c r="L22" s="25"/>
      <c r="M22" s="28">
        <v>0</v>
      </c>
      <c r="N22" s="29"/>
      <c r="O22" s="30">
        <f t="shared" si="0"/>
        <v>3314450</v>
      </c>
      <c r="P22" s="18"/>
      <c r="Q22" s="31">
        <f t="shared" si="1"/>
        <v>0</v>
      </c>
      <c r="R22" s="32"/>
      <c r="S22" s="33">
        <v>0</v>
      </c>
    </row>
    <row r="23" spans="1:19" ht="15" customHeight="1" x14ac:dyDescent="0.25">
      <c r="A23" s="22" t="s">
        <v>40</v>
      </c>
      <c r="B23" s="23">
        <v>1218800</v>
      </c>
      <c r="C23" s="24"/>
      <c r="D23" s="25"/>
      <c r="E23" s="26"/>
      <c r="F23" s="25"/>
      <c r="G23" s="27"/>
      <c r="H23" s="25"/>
      <c r="I23" s="25"/>
      <c r="J23" s="25"/>
      <c r="K23" s="28">
        <v>670</v>
      </c>
      <c r="L23" s="25"/>
      <c r="M23" s="28">
        <v>99150</v>
      </c>
      <c r="N23" s="29"/>
      <c r="O23" s="30">
        <f t="shared" si="0"/>
        <v>1318620</v>
      </c>
      <c r="P23" s="18"/>
      <c r="Q23" s="31">
        <f t="shared" si="1"/>
        <v>69970</v>
      </c>
      <c r="R23" s="32"/>
      <c r="S23" s="33">
        <v>169120</v>
      </c>
    </row>
    <row r="24" spans="1:19" ht="25.5" customHeight="1" x14ac:dyDescent="0.25">
      <c r="A24" s="22" t="s">
        <v>41</v>
      </c>
      <c r="B24" s="23">
        <v>1440110</v>
      </c>
      <c r="C24" s="24"/>
      <c r="D24" s="25">
        <v>39020</v>
      </c>
      <c r="E24" s="26">
        <v>182140</v>
      </c>
      <c r="F24" s="25"/>
      <c r="G24" s="27">
        <v>64890</v>
      </c>
      <c r="H24" s="25">
        <v>21370</v>
      </c>
      <c r="I24" s="25"/>
      <c r="J24" s="25"/>
      <c r="K24" s="28">
        <v>574</v>
      </c>
      <c r="L24" s="25"/>
      <c r="M24" s="28">
        <v>146360</v>
      </c>
      <c r="N24" s="29"/>
      <c r="O24" s="30">
        <f t="shared" si="0"/>
        <v>1894464</v>
      </c>
      <c r="P24" s="18"/>
      <c r="Q24" s="31">
        <f t="shared" si="1"/>
        <v>82160</v>
      </c>
      <c r="R24" s="32"/>
      <c r="S24" s="33">
        <v>228520</v>
      </c>
    </row>
    <row r="25" spans="1:19" ht="15" customHeight="1" x14ac:dyDescent="0.25">
      <c r="A25" s="36" t="s">
        <v>42</v>
      </c>
      <c r="B25" s="23">
        <v>1776150</v>
      </c>
      <c r="C25" s="24"/>
      <c r="D25" s="25"/>
      <c r="E25" s="26"/>
      <c r="F25" s="25"/>
      <c r="G25" s="27"/>
      <c r="H25" s="25"/>
      <c r="I25" s="25"/>
      <c r="J25" s="25"/>
      <c r="K25" s="28">
        <v>248</v>
      </c>
      <c r="L25" s="25"/>
      <c r="M25" s="28">
        <v>133450</v>
      </c>
      <c r="N25" s="29"/>
      <c r="O25" s="30">
        <f t="shared" si="0"/>
        <v>1909848</v>
      </c>
      <c r="P25" s="18"/>
      <c r="Q25" s="31">
        <f t="shared" si="1"/>
        <v>74910</v>
      </c>
      <c r="R25" s="32"/>
      <c r="S25" s="33">
        <v>208360</v>
      </c>
    </row>
    <row r="26" spans="1:19" ht="15" customHeight="1" x14ac:dyDescent="0.25">
      <c r="A26" s="22" t="s">
        <v>43</v>
      </c>
      <c r="B26" s="23">
        <v>2214370</v>
      </c>
      <c r="C26" s="24"/>
      <c r="D26" s="25"/>
      <c r="E26" s="26"/>
      <c r="F26" s="25"/>
      <c r="G26" s="27"/>
      <c r="H26" s="25"/>
      <c r="I26" s="25"/>
      <c r="J26" s="25"/>
      <c r="K26" s="28">
        <v>459</v>
      </c>
      <c r="L26" s="25"/>
      <c r="M26" s="28">
        <v>75060</v>
      </c>
      <c r="N26" s="29"/>
      <c r="O26" s="30">
        <f t="shared" si="0"/>
        <v>2289889</v>
      </c>
      <c r="P26" s="18"/>
      <c r="Q26" s="31">
        <f t="shared" si="1"/>
        <v>73770</v>
      </c>
      <c r="R26" s="32"/>
      <c r="S26" s="33">
        <v>148830</v>
      </c>
    </row>
    <row r="27" spans="1:19" ht="15" customHeight="1" x14ac:dyDescent="0.25">
      <c r="A27" s="22" t="s">
        <v>44</v>
      </c>
      <c r="B27" s="23">
        <v>1361870</v>
      </c>
      <c r="C27" s="24"/>
      <c r="D27" s="25"/>
      <c r="E27" s="26"/>
      <c r="F27" s="25"/>
      <c r="G27" s="27"/>
      <c r="H27" s="25">
        <v>10430</v>
      </c>
      <c r="I27" s="25">
        <v>1260</v>
      </c>
      <c r="J27" s="25">
        <v>225550</v>
      </c>
      <c r="K27" s="28">
        <v>525</v>
      </c>
      <c r="L27" s="25"/>
      <c r="M27" s="28">
        <v>2700</v>
      </c>
      <c r="N27" s="29"/>
      <c r="O27" s="30">
        <f t="shared" si="0"/>
        <v>1602335</v>
      </c>
      <c r="P27" s="18"/>
      <c r="Q27" s="31">
        <f t="shared" si="1"/>
        <v>2650</v>
      </c>
      <c r="R27" s="32"/>
      <c r="S27" s="33">
        <v>5350</v>
      </c>
    </row>
    <row r="28" spans="1:19" ht="15" customHeight="1" x14ac:dyDescent="0.25">
      <c r="A28" s="22" t="s">
        <v>45</v>
      </c>
      <c r="B28" s="23">
        <v>1972290</v>
      </c>
      <c r="C28" s="24"/>
      <c r="D28" s="25"/>
      <c r="E28" s="26"/>
      <c r="F28" s="25">
        <v>544030</v>
      </c>
      <c r="G28" s="27">
        <v>13330</v>
      </c>
      <c r="H28" s="25">
        <v>28930</v>
      </c>
      <c r="I28" s="25"/>
      <c r="J28" s="25"/>
      <c r="K28" s="28">
        <v>495</v>
      </c>
      <c r="L28" s="25"/>
      <c r="M28" s="28">
        <v>130050.00000000001</v>
      </c>
      <c r="N28" s="29"/>
      <c r="O28" s="30">
        <f t="shared" si="0"/>
        <v>2689125</v>
      </c>
      <c r="P28" s="18"/>
      <c r="Q28" s="31">
        <f t="shared" si="1"/>
        <v>127809.99999999999</v>
      </c>
      <c r="R28" s="32"/>
      <c r="S28" s="33">
        <v>257860</v>
      </c>
    </row>
    <row r="29" spans="1:19" ht="15" customHeight="1" x14ac:dyDescent="0.25">
      <c r="A29" s="22" t="s">
        <v>46</v>
      </c>
      <c r="B29" s="23">
        <v>766160</v>
      </c>
      <c r="C29" s="24"/>
      <c r="D29" s="25"/>
      <c r="E29" s="26"/>
      <c r="F29" s="25"/>
      <c r="G29" s="27"/>
      <c r="H29" s="25">
        <v>670</v>
      </c>
      <c r="I29" s="25"/>
      <c r="J29" s="25"/>
      <c r="K29" s="28">
        <v>327</v>
      </c>
      <c r="L29" s="25"/>
      <c r="M29" s="28">
        <v>39620</v>
      </c>
      <c r="N29" s="29"/>
      <c r="O29" s="30">
        <f t="shared" si="0"/>
        <v>806777</v>
      </c>
      <c r="P29" s="18"/>
      <c r="Q29" s="31">
        <f t="shared" si="1"/>
        <v>38940</v>
      </c>
      <c r="R29" s="32"/>
      <c r="S29" s="33">
        <v>78560</v>
      </c>
    </row>
    <row r="30" spans="1:19" ht="15" customHeight="1" x14ac:dyDescent="0.25">
      <c r="A30" s="22" t="s">
        <v>47</v>
      </c>
      <c r="B30" s="23">
        <v>1038540</v>
      </c>
      <c r="C30" s="24"/>
      <c r="D30" s="25"/>
      <c r="E30" s="26">
        <v>1531980</v>
      </c>
      <c r="F30" s="25">
        <v>448710</v>
      </c>
      <c r="G30" s="27">
        <v>29450</v>
      </c>
      <c r="H30" s="25">
        <v>32680</v>
      </c>
      <c r="I30" s="25"/>
      <c r="J30" s="25">
        <v>57340</v>
      </c>
      <c r="K30" s="28">
        <v>306</v>
      </c>
      <c r="L30" s="25"/>
      <c r="M30" s="28">
        <v>175380</v>
      </c>
      <c r="N30" s="29"/>
      <c r="O30" s="30">
        <f t="shared" si="0"/>
        <v>3314386</v>
      </c>
      <c r="P30" s="18"/>
      <c r="Q30" s="31">
        <f t="shared" si="1"/>
        <v>125970</v>
      </c>
      <c r="R30" s="32"/>
      <c r="S30" s="33">
        <f>(129.53+171.82)*1000</f>
        <v>301350</v>
      </c>
    </row>
    <row r="31" spans="1:19" ht="25.5" customHeight="1" x14ac:dyDescent="0.25">
      <c r="A31" s="22" t="s">
        <v>48</v>
      </c>
      <c r="B31" s="23">
        <v>1001600</v>
      </c>
      <c r="C31" s="24"/>
      <c r="D31" s="25"/>
      <c r="E31" s="26">
        <v>1694370</v>
      </c>
      <c r="F31" s="25"/>
      <c r="G31" s="27">
        <v>22100</v>
      </c>
      <c r="H31" s="25">
        <v>37920</v>
      </c>
      <c r="I31" s="25">
        <v>2940</v>
      </c>
      <c r="J31" s="25"/>
      <c r="K31" s="28">
        <v>387</v>
      </c>
      <c r="L31" s="25"/>
      <c r="M31" s="28">
        <v>122290</v>
      </c>
      <c r="N31" s="29"/>
      <c r="O31" s="30">
        <f t="shared" si="0"/>
        <v>2881607</v>
      </c>
      <c r="P31" s="18"/>
      <c r="Q31" s="31">
        <f t="shared" si="1"/>
        <v>110800</v>
      </c>
      <c r="R31" s="32"/>
      <c r="S31" s="33">
        <f>(57.78+175.31)*1000</f>
        <v>233090</v>
      </c>
    </row>
    <row r="32" spans="1:19" ht="15" customHeight="1" x14ac:dyDescent="0.25">
      <c r="A32" s="22" t="s">
        <v>49</v>
      </c>
      <c r="B32" s="23">
        <v>4067490</v>
      </c>
      <c r="C32" s="24"/>
      <c r="D32" s="25"/>
      <c r="E32" s="26"/>
      <c r="F32" s="25"/>
      <c r="G32" s="27">
        <v>54700</v>
      </c>
      <c r="H32" s="25">
        <v>20240</v>
      </c>
      <c r="I32" s="25"/>
      <c r="J32" s="25"/>
      <c r="K32" s="28">
        <v>385</v>
      </c>
      <c r="L32" s="25"/>
      <c r="M32" s="28">
        <v>182970</v>
      </c>
      <c r="N32" s="29"/>
      <c r="O32" s="30">
        <f t="shared" si="0"/>
        <v>4325785</v>
      </c>
      <c r="P32" s="18"/>
      <c r="Q32" s="31">
        <f t="shared" si="1"/>
        <v>102710</v>
      </c>
      <c r="R32" s="32"/>
      <c r="S32" s="33">
        <v>285680</v>
      </c>
    </row>
    <row r="33" spans="1:19" ht="15" customHeight="1" x14ac:dyDescent="0.25">
      <c r="A33" s="22" t="s">
        <v>50</v>
      </c>
      <c r="B33" s="23">
        <v>423150</v>
      </c>
      <c r="C33" s="24"/>
      <c r="D33" s="25"/>
      <c r="E33" s="26">
        <v>1138460</v>
      </c>
      <c r="F33" s="25"/>
      <c r="G33" s="27">
        <v>1140</v>
      </c>
      <c r="H33" s="25"/>
      <c r="I33" s="25"/>
      <c r="J33" s="25"/>
      <c r="K33" s="28">
        <v>0</v>
      </c>
      <c r="L33" s="25"/>
      <c r="M33" s="28">
        <v>42830</v>
      </c>
      <c r="N33" s="29"/>
      <c r="O33" s="30">
        <f t="shared" si="0"/>
        <v>1605580</v>
      </c>
      <c r="P33" s="18"/>
      <c r="Q33" s="31">
        <f t="shared" si="1"/>
        <v>30230</v>
      </c>
      <c r="R33" s="32"/>
      <c r="S33" s="33">
        <v>73060</v>
      </c>
    </row>
    <row r="34" spans="1:19" ht="15" customHeight="1" x14ac:dyDescent="0.25">
      <c r="A34" s="22" t="s">
        <v>51</v>
      </c>
      <c r="B34" s="23">
        <v>1827820</v>
      </c>
      <c r="C34" s="24"/>
      <c r="D34" s="25"/>
      <c r="E34" s="26"/>
      <c r="F34" s="25"/>
      <c r="G34" s="27"/>
      <c r="H34" s="25">
        <v>15460</v>
      </c>
      <c r="I34" s="25"/>
      <c r="J34" s="25"/>
      <c r="K34" s="28">
        <v>0</v>
      </c>
      <c r="L34" s="25"/>
      <c r="M34" s="28">
        <v>145200</v>
      </c>
      <c r="N34" s="34"/>
      <c r="O34" s="30">
        <f t="shared" si="0"/>
        <v>1988480</v>
      </c>
      <c r="P34" s="18"/>
      <c r="Q34" s="31">
        <f t="shared" si="1"/>
        <v>81500</v>
      </c>
      <c r="R34" s="32"/>
      <c r="S34" s="33">
        <v>226700</v>
      </c>
    </row>
    <row r="35" spans="1:19" ht="15" customHeight="1" x14ac:dyDescent="0.25">
      <c r="A35" s="22" t="s">
        <v>52</v>
      </c>
      <c r="B35" s="23">
        <v>285830</v>
      </c>
      <c r="C35" s="24"/>
      <c r="D35" s="25"/>
      <c r="E35" s="26"/>
      <c r="F35" s="25"/>
      <c r="G35" s="27"/>
      <c r="H35" s="25"/>
      <c r="I35" s="25"/>
      <c r="J35" s="25"/>
      <c r="K35" s="28">
        <v>0</v>
      </c>
      <c r="L35" s="25"/>
      <c r="M35" s="28">
        <v>2800</v>
      </c>
      <c r="N35" s="34"/>
      <c r="O35" s="30">
        <f t="shared" si="0"/>
        <v>288630</v>
      </c>
      <c r="P35" s="18"/>
      <c r="Q35" s="31">
        <f t="shared" si="1"/>
        <v>2750</v>
      </c>
      <c r="R35" s="32"/>
      <c r="S35" s="33">
        <v>5550</v>
      </c>
    </row>
    <row r="36" spans="1:19" ht="15" customHeight="1" x14ac:dyDescent="0.25">
      <c r="A36" s="22" t="s">
        <v>53</v>
      </c>
      <c r="B36" s="23">
        <v>1275380</v>
      </c>
      <c r="C36" s="24"/>
      <c r="D36" s="25"/>
      <c r="E36" s="26"/>
      <c r="F36" s="25"/>
      <c r="G36" s="27"/>
      <c r="H36" s="25"/>
      <c r="I36" s="25"/>
      <c r="J36" s="25"/>
      <c r="K36" s="28">
        <v>0</v>
      </c>
      <c r="L36" s="25"/>
      <c r="M36" s="28">
        <v>82700</v>
      </c>
      <c r="N36" s="34"/>
      <c r="O36" s="30">
        <f>SUM(B36:M36)</f>
        <v>1358080</v>
      </c>
      <c r="P36" s="18"/>
      <c r="Q36" s="31">
        <f t="shared" si="1"/>
        <v>46420</v>
      </c>
      <c r="R36" s="32"/>
      <c r="S36" s="33">
        <v>129120</v>
      </c>
    </row>
    <row r="37" spans="1:19" ht="25.5" customHeight="1" x14ac:dyDescent="0.25">
      <c r="A37" s="22" t="s">
        <v>54</v>
      </c>
      <c r="B37" s="23">
        <v>908110</v>
      </c>
      <c r="C37" s="24"/>
      <c r="D37" s="25"/>
      <c r="E37" s="26"/>
      <c r="F37" s="25"/>
      <c r="G37" s="27"/>
      <c r="H37" s="25"/>
      <c r="I37" s="25"/>
      <c r="J37" s="25"/>
      <c r="K37" s="28">
        <v>0</v>
      </c>
      <c r="L37" s="25"/>
      <c r="M37" s="28">
        <v>80890</v>
      </c>
      <c r="N37" s="34"/>
      <c r="O37" s="30">
        <f t="shared" ref="O37:O69" si="2">SUM(B37:M37)</f>
        <v>989000</v>
      </c>
      <c r="P37" s="18"/>
      <c r="Q37" s="31">
        <f t="shared" si="1"/>
        <v>79490</v>
      </c>
      <c r="R37" s="32"/>
      <c r="S37" s="33">
        <v>160380</v>
      </c>
    </row>
    <row r="38" spans="1:19" ht="12.75" customHeight="1" x14ac:dyDescent="0.25">
      <c r="A38" s="22" t="s">
        <v>55</v>
      </c>
      <c r="B38" s="23">
        <v>1062590</v>
      </c>
      <c r="C38" s="24"/>
      <c r="D38" s="25">
        <v>19150</v>
      </c>
      <c r="E38" s="26"/>
      <c r="F38" s="25"/>
      <c r="G38" s="27">
        <v>24070</v>
      </c>
      <c r="H38" s="25"/>
      <c r="I38" s="25"/>
      <c r="J38" s="25"/>
      <c r="K38" s="28">
        <v>121</v>
      </c>
      <c r="L38" s="25"/>
      <c r="M38" s="28">
        <v>16780</v>
      </c>
      <c r="N38" s="34"/>
      <c r="O38" s="30">
        <f t="shared" si="2"/>
        <v>1122711</v>
      </c>
      <c r="P38" s="18"/>
      <c r="Q38" s="31">
        <f t="shared" si="1"/>
        <v>11840</v>
      </c>
      <c r="R38" s="32"/>
      <c r="S38" s="33">
        <v>28620</v>
      </c>
    </row>
    <row r="39" spans="1:19" ht="16.5" customHeight="1" x14ac:dyDescent="0.25">
      <c r="A39" s="22" t="s">
        <v>56</v>
      </c>
      <c r="B39" s="23">
        <v>2252730</v>
      </c>
      <c r="C39" s="24"/>
      <c r="D39" s="25">
        <v>117360</v>
      </c>
      <c r="E39" s="26"/>
      <c r="F39" s="25"/>
      <c r="G39" s="27">
        <v>5380</v>
      </c>
      <c r="H39" s="25">
        <v>4750</v>
      </c>
      <c r="I39" s="25"/>
      <c r="J39" s="25"/>
      <c r="K39" s="28">
        <v>0</v>
      </c>
      <c r="L39" s="25"/>
      <c r="M39" s="28">
        <v>51580</v>
      </c>
      <c r="N39" s="34"/>
      <c r="O39" s="30">
        <f t="shared" si="2"/>
        <v>2431800</v>
      </c>
      <c r="P39" s="18"/>
      <c r="Q39" s="31">
        <f t="shared" si="1"/>
        <v>28960</v>
      </c>
      <c r="R39" s="32"/>
      <c r="S39" s="33">
        <v>80540</v>
      </c>
    </row>
    <row r="40" spans="1:19" ht="30" customHeight="1" x14ac:dyDescent="0.25">
      <c r="A40" s="22" t="s">
        <v>57</v>
      </c>
      <c r="B40" s="23">
        <v>1336460</v>
      </c>
      <c r="C40" s="24">
        <v>318100</v>
      </c>
      <c r="D40" s="25"/>
      <c r="E40" s="26"/>
      <c r="F40" s="25"/>
      <c r="G40" s="27">
        <v>75980</v>
      </c>
      <c r="H40" s="25">
        <v>13650</v>
      </c>
      <c r="I40" s="25"/>
      <c r="J40" s="25"/>
      <c r="K40" s="28">
        <v>0</v>
      </c>
      <c r="L40" s="25"/>
      <c r="M40" s="28">
        <v>95510</v>
      </c>
      <c r="N40" s="34"/>
      <c r="O40" s="30">
        <f t="shared" si="2"/>
        <v>1839700</v>
      </c>
      <c r="P40" s="18"/>
      <c r="Q40" s="31">
        <f t="shared" si="1"/>
        <v>53610</v>
      </c>
      <c r="R40" s="32"/>
      <c r="S40" s="33">
        <v>149120</v>
      </c>
    </row>
    <row r="41" spans="1:19" ht="15" customHeight="1" x14ac:dyDescent="0.25">
      <c r="A41" s="22" t="s">
        <v>58</v>
      </c>
      <c r="B41" s="23">
        <v>1446420</v>
      </c>
      <c r="C41" s="24">
        <v>182420</v>
      </c>
      <c r="D41" s="25"/>
      <c r="E41" s="26"/>
      <c r="F41" s="25"/>
      <c r="G41" s="27"/>
      <c r="H41" s="25">
        <v>16210</v>
      </c>
      <c r="I41" s="25"/>
      <c r="J41" s="25"/>
      <c r="K41" s="28">
        <v>0</v>
      </c>
      <c r="L41" s="25"/>
      <c r="M41" s="28">
        <v>76260</v>
      </c>
      <c r="N41" s="25"/>
      <c r="O41" s="30">
        <f t="shared" si="2"/>
        <v>1721310</v>
      </c>
      <c r="P41" s="18"/>
      <c r="Q41" s="31">
        <f t="shared" si="1"/>
        <v>53820.000000000015</v>
      </c>
      <c r="R41" s="32"/>
      <c r="S41" s="33">
        <v>130080.00000000001</v>
      </c>
    </row>
    <row r="42" spans="1:19" ht="15" customHeight="1" x14ac:dyDescent="0.25">
      <c r="A42" s="22" t="s">
        <v>59</v>
      </c>
      <c r="B42" s="23">
        <v>1236380</v>
      </c>
      <c r="C42" s="24"/>
      <c r="D42" s="25"/>
      <c r="E42" s="26"/>
      <c r="F42" s="25"/>
      <c r="G42" s="27">
        <v>19180</v>
      </c>
      <c r="H42" s="25">
        <v>15350</v>
      </c>
      <c r="I42" s="25"/>
      <c r="J42" s="25"/>
      <c r="K42" s="28">
        <v>279</v>
      </c>
      <c r="L42" s="25"/>
      <c r="M42" s="28">
        <v>111750</v>
      </c>
      <c r="N42" s="34"/>
      <c r="O42" s="30">
        <f t="shared" si="2"/>
        <v>1382939</v>
      </c>
      <c r="P42" s="18"/>
      <c r="Q42" s="31">
        <f t="shared" si="1"/>
        <v>78860</v>
      </c>
      <c r="R42" s="32"/>
      <c r="S42" s="33">
        <v>190610</v>
      </c>
    </row>
    <row r="43" spans="1:19" ht="15" customHeight="1" x14ac:dyDescent="0.25">
      <c r="A43" s="22" t="s">
        <v>60</v>
      </c>
      <c r="B43" s="23">
        <v>441920</v>
      </c>
      <c r="C43" s="24"/>
      <c r="D43" s="25"/>
      <c r="E43" s="26">
        <v>558020</v>
      </c>
      <c r="F43" s="25">
        <v>361410</v>
      </c>
      <c r="G43" s="27">
        <v>33400</v>
      </c>
      <c r="H43" s="25">
        <v>99990</v>
      </c>
      <c r="I43" s="25"/>
      <c r="J43" s="25"/>
      <c r="K43" s="28">
        <v>277</v>
      </c>
      <c r="L43" s="25"/>
      <c r="M43" s="28">
        <v>111960</v>
      </c>
      <c r="N43" s="34"/>
      <c r="O43" s="30">
        <f t="shared" si="2"/>
        <v>1606977</v>
      </c>
      <c r="P43" s="18"/>
      <c r="Q43" s="31">
        <f t="shared" si="1"/>
        <v>79010</v>
      </c>
      <c r="R43" s="32"/>
      <c r="S43" s="33">
        <v>190970</v>
      </c>
    </row>
    <row r="44" spans="1:19" ht="15" customHeight="1" x14ac:dyDescent="0.25">
      <c r="A44" s="22" t="s">
        <v>61</v>
      </c>
      <c r="B44" s="23">
        <v>1638280</v>
      </c>
      <c r="C44" s="24"/>
      <c r="D44" s="25"/>
      <c r="E44" s="26"/>
      <c r="F44" s="25">
        <v>429600</v>
      </c>
      <c r="G44" s="27">
        <v>14070</v>
      </c>
      <c r="H44" s="25">
        <v>21150</v>
      </c>
      <c r="I44" s="25">
        <v>3850</v>
      </c>
      <c r="J44" s="25">
        <v>6690</v>
      </c>
      <c r="K44" s="28">
        <v>0</v>
      </c>
      <c r="L44" s="25"/>
      <c r="M44" s="28">
        <v>118100</v>
      </c>
      <c r="N44" s="34"/>
      <c r="O44" s="30">
        <f t="shared" si="2"/>
        <v>2231740</v>
      </c>
      <c r="P44" s="18"/>
      <c r="Q44" s="31">
        <f t="shared" si="1"/>
        <v>116060</v>
      </c>
      <c r="R44" s="32"/>
      <c r="S44" s="33">
        <v>234160</v>
      </c>
    </row>
    <row r="45" spans="1:19" ht="15" customHeight="1" x14ac:dyDescent="0.25">
      <c r="A45" s="22" t="s">
        <v>62</v>
      </c>
      <c r="B45" s="23">
        <v>1741800</v>
      </c>
      <c r="C45" s="24"/>
      <c r="D45" s="25"/>
      <c r="E45" s="26">
        <v>375870</v>
      </c>
      <c r="F45" s="25"/>
      <c r="G45" s="27"/>
      <c r="H45" s="25">
        <v>20060</v>
      </c>
      <c r="I45" s="25"/>
      <c r="J45" s="25"/>
      <c r="K45" s="28">
        <v>473</v>
      </c>
      <c r="L45" s="25"/>
      <c r="M45" s="28">
        <v>83290</v>
      </c>
      <c r="N45" s="34"/>
      <c r="O45" s="30">
        <f t="shared" si="2"/>
        <v>2221493</v>
      </c>
      <c r="P45" s="18"/>
      <c r="Q45" s="31">
        <f t="shared" si="1"/>
        <v>46749.999999999985</v>
      </c>
      <c r="R45" s="32"/>
      <c r="S45" s="33">
        <v>130039.99999999999</v>
      </c>
    </row>
    <row r="46" spans="1:19" ht="15.75" customHeight="1" x14ac:dyDescent="0.25">
      <c r="A46" s="22" t="s">
        <v>63</v>
      </c>
      <c r="B46" s="23">
        <v>854500</v>
      </c>
      <c r="C46" s="24"/>
      <c r="D46" s="25"/>
      <c r="E46" s="26">
        <v>2353740</v>
      </c>
      <c r="F46" s="25"/>
      <c r="G46" s="27"/>
      <c r="H46" s="25">
        <v>98090</v>
      </c>
      <c r="I46" s="25"/>
      <c r="J46" s="25"/>
      <c r="K46" s="28">
        <v>760</v>
      </c>
      <c r="L46" s="25"/>
      <c r="M46" s="28">
        <v>163050</v>
      </c>
      <c r="N46" s="34"/>
      <c r="O46" s="30">
        <f t="shared" si="2"/>
        <v>3470140</v>
      </c>
      <c r="P46" s="18"/>
      <c r="Q46" s="31">
        <f t="shared" si="1"/>
        <v>115060</v>
      </c>
      <c r="R46" s="32"/>
      <c r="S46" s="33">
        <v>278110</v>
      </c>
    </row>
    <row r="47" spans="1:19" ht="15" customHeight="1" x14ac:dyDescent="0.25">
      <c r="A47" s="22" t="s">
        <v>64</v>
      </c>
      <c r="B47" s="23">
        <v>1275430</v>
      </c>
      <c r="C47" s="24"/>
      <c r="D47" s="25"/>
      <c r="E47" s="26">
        <v>784110</v>
      </c>
      <c r="F47" s="25"/>
      <c r="G47" s="27">
        <v>32060</v>
      </c>
      <c r="H47" s="25">
        <v>141630</v>
      </c>
      <c r="I47" s="25"/>
      <c r="J47" s="25"/>
      <c r="K47" s="28">
        <v>306</v>
      </c>
      <c r="L47" s="25"/>
      <c r="M47" s="28">
        <v>185900</v>
      </c>
      <c r="N47" s="34"/>
      <c r="O47" s="30">
        <f t="shared" si="2"/>
        <v>2419436</v>
      </c>
      <c r="P47" s="18"/>
      <c r="Q47" s="31">
        <f t="shared" si="1"/>
        <v>131200</v>
      </c>
      <c r="R47" s="32"/>
      <c r="S47" s="33">
        <v>317100</v>
      </c>
    </row>
    <row r="48" spans="1:19" ht="15" customHeight="1" x14ac:dyDescent="0.25">
      <c r="A48" s="22" t="s">
        <v>65</v>
      </c>
      <c r="B48" s="23">
        <v>987760</v>
      </c>
      <c r="C48" s="24"/>
      <c r="D48" s="25"/>
      <c r="E48" s="26"/>
      <c r="F48" s="25"/>
      <c r="G48" s="27"/>
      <c r="H48" s="25"/>
      <c r="I48" s="25"/>
      <c r="J48" s="25"/>
      <c r="K48" s="28">
        <v>0</v>
      </c>
      <c r="L48" s="25"/>
      <c r="M48" s="28">
        <v>117800</v>
      </c>
      <c r="N48" s="34"/>
      <c r="O48" s="30">
        <f t="shared" si="2"/>
        <v>1105560</v>
      </c>
      <c r="P48" s="18"/>
      <c r="Q48" s="31">
        <f t="shared" si="1"/>
        <v>66120</v>
      </c>
      <c r="R48" s="32"/>
      <c r="S48" s="33">
        <v>183920</v>
      </c>
    </row>
    <row r="49" spans="1:23" ht="14.25" customHeight="1" x14ac:dyDescent="0.25">
      <c r="A49" s="36" t="s">
        <v>66</v>
      </c>
      <c r="B49" s="23">
        <v>1997360</v>
      </c>
      <c r="C49" s="24"/>
      <c r="D49" s="25"/>
      <c r="E49" s="26"/>
      <c r="F49" s="25">
        <v>68340</v>
      </c>
      <c r="G49" s="27">
        <v>166090</v>
      </c>
      <c r="H49" s="25"/>
      <c r="I49" s="25"/>
      <c r="J49" s="25"/>
      <c r="K49" s="28">
        <v>380</v>
      </c>
      <c r="L49" s="25"/>
      <c r="M49" s="28">
        <v>207390</v>
      </c>
      <c r="N49" s="34"/>
      <c r="O49" s="30">
        <f>SUM(B49:M49)</f>
        <v>2439560</v>
      </c>
      <c r="P49" s="18"/>
      <c r="Q49" s="31">
        <f t="shared" si="1"/>
        <v>116410</v>
      </c>
      <c r="R49" s="32"/>
      <c r="S49" s="33">
        <v>323800</v>
      </c>
    </row>
    <row r="50" spans="1:23" ht="17.25" customHeight="1" x14ac:dyDescent="0.25">
      <c r="A50" s="22" t="s">
        <v>67</v>
      </c>
      <c r="B50" s="23">
        <v>1136190</v>
      </c>
      <c r="C50" s="24"/>
      <c r="D50" s="25"/>
      <c r="E50" s="26"/>
      <c r="F50" s="25"/>
      <c r="G50" s="27">
        <v>68420</v>
      </c>
      <c r="H50" s="25">
        <v>21100</v>
      </c>
      <c r="I50" s="25"/>
      <c r="J50" s="25"/>
      <c r="K50" s="28">
        <v>380</v>
      </c>
      <c r="L50" s="25"/>
      <c r="M50" s="28">
        <v>139970</v>
      </c>
      <c r="N50" s="34"/>
      <c r="O50" s="30">
        <f t="shared" si="2"/>
        <v>1366060</v>
      </c>
      <c r="P50" s="18"/>
      <c r="Q50" s="31">
        <f t="shared" si="1"/>
        <v>78570</v>
      </c>
      <c r="R50" s="32"/>
      <c r="S50" s="33">
        <v>218540</v>
      </c>
    </row>
    <row r="51" spans="1:23" ht="15" customHeight="1" x14ac:dyDescent="0.25">
      <c r="A51" s="22" t="s">
        <v>68</v>
      </c>
      <c r="B51" s="23">
        <v>4077820</v>
      </c>
      <c r="C51" s="24"/>
      <c r="D51" s="25"/>
      <c r="E51" s="26">
        <v>1430390</v>
      </c>
      <c r="F51" s="25">
        <v>171410</v>
      </c>
      <c r="G51" s="27">
        <v>8190</v>
      </c>
      <c r="H51" s="25">
        <v>48840</v>
      </c>
      <c r="I51" s="25"/>
      <c r="J51" s="25">
        <v>64480</v>
      </c>
      <c r="K51" s="28">
        <v>82</v>
      </c>
      <c r="L51" s="25"/>
      <c r="M51" s="28">
        <v>283670</v>
      </c>
      <c r="N51" s="34"/>
      <c r="O51" s="30">
        <f t="shared" si="2"/>
        <v>6084882</v>
      </c>
      <c r="P51" s="18"/>
      <c r="Q51" s="31">
        <f t="shared" si="1"/>
        <v>205610.00000000006</v>
      </c>
      <c r="R51" s="32"/>
      <c r="S51" s="33">
        <f>(450.48+38.8)*1000</f>
        <v>489280.00000000006</v>
      </c>
    </row>
    <row r="52" spans="1:23" ht="15" customHeight="1" x14ac:dyDescent="0.25">
      <c r="A52" s="22" t="s">
        <v>69</v>
      </c>
      <c r="B52" s="23">
        <v>858000</v>
      </c>
      <c r="C52" s="24"/>
      <c r="D52" s="25"/>
      <c r="E52" s="26"/>
      <c r="F52" s="25">
        <v>131230</v>
      </c>
      <c r="G52" s="27"/>
      <c r="H52" s="25">
        <v>19760</v>
      </c>
      <c r="I52" s="25"/>
      <c r="J52" s="25"/>
      <c r="K52" s="28">
        <v>220</v>
      </c>
      <c r="L52" s="25"/>
      <c r="M52" s="28">
        <v>122130</v>
      </c>
      <c r="N52" s="34"/>
      <c r="O52" s="30">
        <f t="shared" si="2"/>
        <v>1131340</v>
      </c>
      <c r="P52" s="18"/>
      <c r="Q52" s="31">
        <f t="shared" si="1"/>
        <v>68550</v>
      </c>
      <c r="R52" s="32"/>
      <c r="S52" s="33">
        <v>190680</v>
      </c>
    </row>
    <row r="53" spans="1:23" ht="15" customHeight="1" x14ac:dyDescent="0.25">
      <c r="A53" s="22" t="s">
        <v>70</v>
      </c>
      <c r="B53" s="23">
        <v>33550</v>
      </c>
      <c r="C53" s="24"/>
      <c r="D53" s="25">
        <v>123210</v>
      </c>
      <c r="E53" s="26">
        <v>599130</v>
      </c>
      <c r="F53" s="25"/>
      <c r="G53" s="27"/>
      <c r="H53" s="25">
        <v>1820</v>
      </c>
      <c r="I53" s="25"/>
      <c r="J53" s="25"/>
      <c r="K53" s="28">
        <v>0</v>
      </c>
      <c r="L53" s="25"/>
      <c r="M53" s="28">
        <v>17010</v>
      </c>
      <c r="N53" s="34"/>
      <c r="O53" s="30">
        <f t="shared" si="2"/>
        <v>774720</v>
      </c>
      <c r="P53" s="18"/>
      <c r="Q53" s="31">
        <f t="shared" si="1"/>
        <v>12010</v>
      </c>
      <c r="R53" s="32"/>
      <c r="S53" s="33">
        <v>29020</v>
      </c>
    </row>
    <row r="54" spans="1:23" ht="15" customHeight="1" x14ac:dyDescent="0.25">
      <c r="A54" s="22" t="s">
        <v>71</v>
      </c>
      <c r="B54" s="23">
        <v>4146210</v>
      </c>
      <c r="C54" s="24"/>
      <c r="D54" s="25"/>
      <c r="E54" s="26"/>
      <c r="F54" s="25">
        <v>437350</v>
      </c>
      <c r="G54" s="27"/>
      <c r="H54" s="25">
        <v>204020</v>
      </c>
      <c r="I54" s="25">
        <v>3220</v>
      </c>
      <c r="J54" s="25"/>
      <c r="K54" s="28">
        <v>47</v>
      </c>
      <c r="L54" s="25"/>
      <c r="M54" s="28">
        <v>223710</v>
      </c>
      <c r="N54" s="34"/>
      <c r="O54" s="30">
        <f t="shared" si="2"/>
        <v>5014557</v>
      </c>
      <c r="P54" s="18"/>
      <c r="Q54" s="31">
        <f t="shared" si="1"/>
        <v>219840</v>
      </c>
      <c r="R54" s="32"/>
      <c r="S54" s="33">
        <v>443550</v>
      </c>
    </row>
    <row r="55" spans="1:23" ht="15" customHeight="1" x14ac:dyDescent="0.25">
      <c r="A55" s="22" t="s">
        <v>72</v>
      </c>
      <c r="B55" s="23">
        <v>470610</v>
      </c>
      <c r="C55" s="24"/>
      <c r="D55" s="25"/>
      <c r="E55" s="26"/>
      <c r="F55" s="25">
        <v>896420</v>
      </c>
      <c r="G55" s="27">
        <v>2380</v>
      </c>
      <c r="H55" s="25"/>
      <c r="I55" s="25"/>
      <c r="J55" s="25">
        <v>183530</v>
      </c>
      <c r="K55" s="28">
        <v>0</v>
      </c>
      <c r="L55" s="25"/>
      <c r="M55" s="28">
        <v>1200</v>
      </c>
      <c r="N55" s="34"/>
      <c r="O55" s="30">
        <f t="shared" si="2"/>
        <v>1554140</v>
      </c>
      <c r="P55" s="18"/>
      <c r="Q55" s="31">
        <f t="shared" si="1"/>
        <v>1180</v>
      </c>
      <c r="R55" s="32"/>
      <c r="S55" s="33">
        <v>2380</v>
      </c>
    </row>
    <row r="56" spans="1:23" ht="15" customHeight="1" x14ac:dyDescent="0.25">
      <c r="A56" s="22" t="s">
        <v>73</v>
      </c>
      <c r="B56" s="23">
        <v>359130</v>
      </c>
      <c r="C56" s="24"/>
      <c r="D56" s="25"/>
      <c r="E56" s="26"/>
      <c r="F56" s="25"/>
      <c r="G56" s="27"/>
      <c r="H56" s="25"/>
      <c r="I56" s="25"/>
      <c r="J56" s="25"/>
      <c r="K56" s="28">
        <v>0</v>
      </c>
      <c r="L56" s="25"/>
      <c r="M56" s="28">
        <v>30000</v>
      </c>
      <c r="N56" s="34"/>
      <c r="O56" s="30">
        <f t="shared" si="2"/>
        <v>389130</v>
      </c>
      <c r="P56" s="18"/>
      <c r="Q56" s="31">
        <f t="shared" si="1"/>
        <v>21180</v>
      </c>
      <c r="R56" s="32"/>
      <c r="S56" s="33">
        <v>51180</v>
      </c>
    </row>
    <row r="57" spans="1:23" ht="25.5" customHeight="1" x14ac:dyDescent="0.25">
      <c r="A57" s="22" t="s">
        <v>74</v>
      </c>
      <c r="B57" s="23">
        <v>976070</v>
      </c>
      <c r="C57" s="24"/>
      <c r="D57" s="25"/>
      <c r="E57" s="26"/>
      <c r="F57" s="25"/>
      <c r="G57" s="27"/>
      <c r="H57" s="25">
        <v>11600</v>
      </c>
      <c r="I57" s="25"/>
      <c r="J57" s="25">
        <v>71410</v>
      </c>
      <c r="K57" s="28">
        <v>304</v>
      </c>
      <c r="L57" s="25"/>
      <c r="M57" s="28">
        <v>40300</v>
      </c>
      <c r="N57" s="34"/>
      <c r="O57" s="30">
        <f t="shared" si="2"/>
        <v>1099684</v>
      </c>
      <c r="P57" s="18"/>
      <c r="Q57" s="31">
        <f t="shared" si="1"/>
        <v>22620</v>
      </c>
      <c r="R57" s="32"/>
      <c r="S57" s="33">
        <v>62920</v>
      </c>
    </row>
    <row r="58" spans="1:23" ht="19.5" customHeight="1" x14ac:dyDescent="0.25">
      <c r="A58" s="22" t="s">
        <v>75</v>
      </c>
      <c r="B58" s="23">
        <v>463660</v>
      </c>
      <c r="C58" s="24"/>
      <c r="D58" s="25">
        <v>256760</v>
      </c>
      <c r="E58" s="26">
        <v>1566840</v>
      </c>
      <c r="F58" s="25">
        <v>45270</v>
      </c>
      <c r="G58" s="27">
        <v>15590</v>
      </c>
      <c r="H58" s="25">
        <v>15970</v>
      </c>
      <c r="I58" s="25"/>
      <c r="J58" s="25"/>
      <c r="K58" s="28">
        <v>0</v>
      </c>
      <c r="L58" s="25"/>
      <c r="M58" s="28">
        <v>20840</v>
      </c>
      <c r="N58" s="34"/>
      <c r="O58" s="30">
        <f t="shared" si="2"/>
        <v>2384930</v>
      </c>
      <c r="P58" s="18"/>
      <c r="Q58" s="31">
        <f t="shared" si="1"/>
        <v>14700</v>
      </c>
      <c r="R58" s="32"/>
      <c r="S58" s="33">
        <v>35540</v>
      </c>
    </row>
    <row r="59" spans="1:23" ht="17.25" customHeight="1" x14ac:dyDescent="0.25">
      <c r="A59" s="22" t="s">
        <v>76</v>
      </c>
      <c r="B59" s="23">
        <v>1804520</v>
      </c>
      <c r="C59" s="24"/>
      <c r="D59" s="25"/>
      <c r="E59" s="26"/>
      <c r="F59" s="25"/>
      <c r="G59" s="27"/>
      <c r="H59" s="25"/>
      <c r="I59" s="25"/>
      <c r="J59" s="25"/>
      <c r="K59" s="28">
        <v>0</v>
      </c>
      <c r="L59" s="25"/>
      <c r="M59" s="28">
        <v>122450</v>
      </c>
      <c r="N59" s="34"/>
      <c r="O59" s="30">
        <f t="shared" si="2"/>
        <v>1926970</v>
      </c>
      <c r="P59" s="18"/>
      <c r="Q59" s="31">
        <f t="shared" si="1"/>
        <v>68730</v>
      </c>
      <c r="R59" s="32"/>
      <c r="S59" s="33">
        <v>191180</v>
      </c>
      <c r="W59" s="35"/>
    </row>
    <row r="60" spans="1:23" ht="28.5" customHeight="1" x14ac:dyDescent="0.25">
      <c r="A60" s="22" t="s">
        <v>77</v>
      </c>
      <c r="B60" s="23">
        <v>2487640</v>
      </c>
      <c r="C60" s="24"/>
      <c r="D60" s="25"/>
      <c r="E60" s="26"/>
      <c r="F60" s="25"/>
      <c r="G60" s="27">
        <v>40060</v>
      </c>
      <c r="H60" s="25"/>
      <c r="I60" s="25"/>
      <c r="J60" s="25"/>
      <c r="K60" s="28">
        <v>0</v>
      </c>
      <c r="L60" s="25"/>
      <c r="M60" s="28">
        <v>104530</v>
      </c>
      <c r="N60" s="34"/>
      <c r="O60" s="30">
        <f t="shared" si="2"/>
        <v>2632230</v>
      </c>
      <c r="P60" s="18"/>
      <c r="Q60" s="31">
        <f t="shared" si="1"/>
        <v>58670</v>
      </c>
      <c r="R60" s="32"/>
      <c r="S60" s="33">
        <v>163200</v>
      </c>
      <c r="W60" s="35"/>
    </row>
    <row r="61" spans="1:23" ht="12.75" customHeight="1" x14ac:dyDescent="0.25">
      <c r="A61" s="22" t="s">
        <v>78</v>
      </c>
      <c r="B61" s="23">
        <v>204580</v>
      </c>
      <c r="C61" s="34"/>
      <c r="D61" s="25"/>
      <c r="E61" s="26"/>
      <c r="F61" s="25"/>
      <c r="G61" s="27"/>
      <c r="H61" s="25"/>
      <c r="I61" s="25"/>
      <c r="J61" s="25"/>
      <c r="K61" s="28">
        <v>0</v>
      </c>
      <c r="L61" s="25"/>
      <c r="M61" s="28">
        <v>0</v>
      </c>
      <c r="N61" s="34"/>
      <c r="O61" s="30">
        <f t="shared" si="2"/>
        <v>204580</v>
      </c>
      <c r="P61" s="18"/>
      <c r="Q61" s="31">
        <f t="shared" si="1"/>
        <v>0</v>
      </c>
      <c r="R61" s="32"/>
      <c r="S61" s="33">
        <v>0</v>
      </c>
      <c r="W61" s="35"/>
    </row>
    <row r="62" spans="1:23" ht="12.75" customHeight="1" x14ac:dyDescent="0.25">
      <c r="A62" s="22" t="s">
        <v>79</v>
      </c>
      <c r="B62" s="23">
        <v>250310</v>
      </c>
      <c r="C62" s="24"/>
      <c r="D62" s="25"/>
      <c r="E62" s="26"/>
      <c r="F62" s="25"/>
      <c r="G62" s="27"/>
      <c r="H62" s="25"/>
      <c r="I62" s="25"/>
      <c r="J62" s="25"/>
      <c r="K62" s="28">
        <v>0</v>
      </c>
      <c r="L62" s="25"/>
      <c r="M62" s="28">
        <v>3990</v>
      </c>
      <c r="N62" s="34"/>
      <c r="O62" s="30">
        <f t="shared" si="2"/>
        <v>254300</v>
      </c>
      <c r="P62" s="18"/>
      <c r="Q62" s="31">
        <f t="shared" si="1"/>
        <v>2810</v>
      </c>
      <c r="R62" s="32"/>
      <c r="S62" s="33">
        <v>6800</v>
      </c>
      <c r="W62" s="35"/>
    </row>
    <row r="63" spans="1:23" ht="12.75" customHeight="1" x14ac:dyDescent="0.25">
      <c r="A63" s="22" t="s">
        <v>80</v>
      </c>
      <c r="B63" s="23"/>
      <c r="C63" s="34"/>
      <c r="D63" s="25"/>
      <c r="E63" s="26"/>
      <c r="F63" s="25"/>
      <c r="G63" s="27"/>
      <c r="H63" s="25"/>
      <c r="I63" s="25"/>
      <c r="J63" s="25"/>
      <c r="K63" s="28">
        <v>0</v>
      </c>
      <c r="L63" s="25"/>
      <c r="M63" s="28">
        <v>0</v>
      </c>
      <c r="N63" s="34"/>
      <c r="O63" s="30">
        <f t="shared" si="2"/>
        <v>0</v>
      </c>
      <c r="P63" s="18"/>
      <c r="Q63" s="31">
        <f t="shared" si="1"/>
        <v>0</v>
      </c>
      <c r="R63" s="32"/>
      <c r="S63" s="33">
        <v>0</v>
      </c>
    </row>
    <row r="64" spans="1:23" ht="30.75" customHeight="1" x14ac:dyDescent="0.25">
      <c r="A64" s="22" t="s">
        <v>81</v>
      </c>
      <c r="B64" s="23">
        <v>1209710</v>
      </c>
      <c r="C64" s="24"/>
      <c r="D64" s="25"/>
      <c r="E64" s="26"/>
      <c r="F64" s="25"/>
      <c r="G64" s="27">
        <v>10800</v>
      </c>
      <c r="H64" s="25"/>
      <c r="I64" s="25"/>
      <c r="J64" s="25"/>
      <c r="K64" s="28">
        <v>527</v>
      </c>
      <c r="L64" s="25"/>
      <c r="M64" s="28">
        <v>76770</v>
      </c>
      <c r="N64" s="34"/>
      <c r="O64" s="30">
        <f t="shared" si="2"/>
        <v>1297807</v>
      </c>
      <c r="P64" s="18"/>
      <c r="Q64" s="31">
        <f t="shared" si="1"/>
        <v>75440</v>
      </c>
      <c r="R64" s="32"/>
      <c r="S64" s="33">
        <v>152210</v>
      </c>
    </row>
    <row r="65" spans="1:19" ht="12.75" customHeight="1" x14ac:dyDescent="0.25">
      <c r="A65" s="22" t="s">
        <v>82</v>
      </c>
      <c r="B65" s="23">
        <v>825710</v>
      </c>
      <c r="C65" s="24"/>
      <c r="D65" s="25"/>
      <c r="E65" s="26"/>
      <c r="F65" s="25">
        <v>247500</v>
      </c>
      <c r="G65" s="27">
        <v>121490</v>
      </c>
      <c r="H65" s="25"/>
      <c r="I65" s="25"/>
      <c r="J65" s="25"/>
      <c r="K65" s="28">
        <v>441</v>
      </c>
      <c r="L65" s="25"/>
      <c r="M65" s="28">
        <v>65500</v>
      </c>
      <c r="N65" s="34"/>
      <c r="O65" s="30">
        <f t="shared" si="2"/>
        <v>1260641</v>
      </c>
      <c r="P65" s="18"/>
      <c r="Q65" s="31">
        <f t="shared" si="1"/>
        <v>36760</v>
      </c>
      <c r="R65" s="32"/>
      <c r="S65" s="33">
        <v>102260</v>
      </c>
    </row>
    <row r="66" spans="1:19" ht="20.25" customHeight="1" x14ac:dyDescent="0.25">
      <c r="A66" s="22" t="s">
        <v>83</v>
      </c>
      <c r="B66" s="23">
        <v>2433990</v>
      </c>
      <c r="C66" s="24">
        <v>314080</v>
      </c>
      <c r="D66" s="25"/>
      <c r="E66" s="26"/>
      <c r="F66" s="25">
        <v>334560</v>
      </c>
      <c r="G66" s="27">
        <v>24640</v>
      </c>
      <c r="H66" s="25"/>
      <c r="I66" s="25"/>
      <c r="J66" s="25"/>
      <c r="K66" s="28">
        <v>0</v>
      </c>
      <c r="L66" s="25"/>
      <c r="M66" s="28">
        <v>54370</v>
      </c>
      <c r="N66" s="34"/>
      <c r="O66" s="30">
        <f t="shared" si="2"/>
        <v>3161640</v>
      </c>
      <c r="P66" s="18"/>
      <c r="Q66" s="31">
        <f t="shared" si="1"/>
        <v>53430</v>
      </c>
      <c r="R66" s="32"/>
      <c r="S66" s="33">
        <v>107800</v>
      </c>
    </row>
    <row r="67" spans="1:19" ht="15" customHeight="1" x14ac:dyDescent="0.25">
      <c r="A67" s="22" t="s">
        <v>84</v>
      </c>
      <c r="B67" s="23">
        <v>589580</v>
      </c>
      <c r="C67" s="24"/>
      <c r="D67" s="25"/>
      <c r="E67" s="26">
        <v>384770</v>
      </c>
      <c r="F67" s="25">
        <v>419610</v>
      </c>
      <c r="G67" s="27">
        <v>25240</v>
      </c>
      <c r="H67" s="25">
        <v>18660</v>
      </c>
      <c r="I67" s="25"/>
      <c r="J67" s="25"/>
      <c r="K67" s="28">
        <v>671</v>
      </c>
      <c r="L67" s="25"/>
      <c r="M67" s="28">
        <v>91370</v>
      </c>
      <c r="N67" s="34"/>
      <c r="O67" s="30">
        <f t="shared" si="2"/>
        <v>1529901</v>
      </c>
      <c r="P67" s="18"/>
      <c r="Q67" s="31">
        <f t="shared" si="1"/>
        <v>64480</v>
      </c>
      <c r="R67" s="32"/>
      <c r="S67" s="33">
        <v>155850</v>
      </c>
    </row>
    <row r="68" spans="1:19" ht="15" customHeight="1" x14ac:dyDescent="0.25">
      <c r="A68" s="22" t="s">
        <v>85</v>
      </c>
      <c r="B68" s="23">
        <v>2015770</v>
      </c>
      <c r="C68" s="24"/>
      <c r="D68" s="25"/>
      <c r="E68" s="26"/>
      <c r="F68" s="25">
        <v>207790</v>
      </c>
      <c r="G68" s="27">
        <v>14600</v>
      </c>
      <c r="H68" s="25">
        <v>74070</v>
      </c>
      <c r="I68" s="25"/>
      <c r="J68" s="25"/>
      <c r="K68" s="28">
        <v>47</v>
      </c>
      <c r="L68" s="25"/>
      <c r="M68" s="28">
        <v>230140</v>
      </c>
      <c r="N68" s="34"/>
      <c r="O68" s="30">
        <f t="shared" si="2"/>
        <v>2542417</v>
      </c>
      <c r="P68" s="18"/>
      <c r="Q68" s="31">
        <f t="shared" si="1"/>
        <v>157080</v>
      </c>
      <c r="R68" s="32"/>
      <c r="S68" s="33">
        <f>(373.24+13.98)*1000</f>
        <v>387220</v>
      </c>
    </row>
    <row r="69" spans="1:19" ht="15" customHeight="1" x14ac:dyDescent="0.25">
      <c r="A69" s="22" t="s">
        <v>86</v>
      </c>
      <c r="B69" s="23">
        <v>1834000</v>
      </c>
      <c r="C69" s="24"/>
      <c r="D69" s="25">
        <v>389870</v>
      </c>
      <c r="E69" s="26"/>
      <c r="F69" s="25"/>
      <c r="G69" s="27"/>
      <c r="H69" s="25">
        <v>35820</v>
      </c>
      <c r="I69" s="25"/>
      <c r="J69" s="25"/>
      <c r="K69" s="28">
        <v>0</v>
      </c>
      <c r="L69" s="25"/>
      <c r="M69" s="28">
        <v>0</v>
      </c>
      <c r="N69" s="34"/>
      <c r="O69" s="30">
        <f t="shared" si="2"/>
        <v>2259690</v>
      </c>
      <c r="P69" s="18"/>
      <c r="Q69" s="31">
        <f>(S69-M69)</f>
        <v>0</v>
      </c>
      <c r="R69" s="32"/>
      <c r="S69" s="33">
        <v>0</v>
      </c>
    </row>
    <row r="70" spans="1:19" ht="34.5" customHeight="1" x14ac:dyDescent="0.2">
      <c r="A70" s="37" t="s">
        <v>87</v>
      </c>
      <c r="B70" s="38">
        <f>SUM(B4:B69)</f>
        <v>104663640</v>
      </c>
      <c r="C70" s="38">
        <f t="shared" ref="C70:K70" si="3">SUM(C4:C69)</f>
        <v>3407320</v>
      </c>
      <c r="D70" s="38">
        <f>SUM(D4:D69)</f>
        <v>2067190</v>
      </c>
      <c r="E70" s="39">
        <f t="shared" si="3"/>
        <v>16425610</v>
      </c>
      <c r="F70" s="40">
        <f>SUM(F4:F69)</f>
        <v>18268500</v>
      </c>
      <c r="G70" s="40">
        <f t="shared" si="3"/>
        <v>1834060</v>
      </c>
      <c r="H70" s="40">
        <f t="shared" si="3"/>
        <v>1625200</v>
      </c>
      <c r="I70" s="40">
        <f t="shared" si="3"/>
        <v>87870</v>
      </c>
      <c r="J70" s="40">
        <f t="shared" si="3"/>
        <v>795890</v>
      </c>
      <c r="K70" s="40">
        <f t="shared" si="3"/>
        <v>16774</v>
      </c>
      <c r="L70" s="41"/>
      <c r="M70" s="42">
        <f>SUM(M4:M69)</f>
        <v>7367170</v>
      </c>
      <c r="N70" s="43"/>
      <c r="O70" s="42">
        <f>SUM(O4:O69)</f>
        <v>156559224</v>
      </c>
      <c r="P70" s="44"/>
      <c r="Q70" s="45">
        <f>SUM(Q4:Q69)</f>
        <v>6077490</v>
      </c>
      <c r="R70" s="46">
        <f>SUM(R4:R69)</f>
        <v>0</v>
      </c>
      <c r="S70" s="47">
        <f>SUM(S4:S69)</f>
        <v>13444660</v>
      </c>
    </row>
    <row r="71" spans="1:19" ht="21" customHeight="1" x14ac:dyDescent="0.2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50"/>
      <c r="O71" s="49"/>
      <c r="P71" s="18"/>
      <c r="Q71" s="49"/>
    </row>
    <row r="72" spans="1:19" ht="27.75" customHeight="1" x14ac:dyDescent="0.2">
      <c r="A72" s="99" t="s">
        <v>88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</row>
    <row r="74" spans="1:19" x14ac:dyDescent="0.2">
      <c r="M74" s="52">
        <f>(M70+Q70)</f>
        <v>13444660</v>
      </c>
    </row>
  </sheetData>
  <mergeCells count="3">
    <mergeCell ref="A1:M1"/>
    <mergeCell ref="B2:K2"/>
    <mergeCell ref="A72:Q7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37FA-0EB0-456B-924E-1C50D19991D3}">
  <sheetPr codeName="Sheet9"/>
  <dimension ref="A1:W75"/>
  <sheetViews>
    <sheetView workbookViewId="0">
      <pane xSplit="1" ySplit="3" topLeftCell="G7" activePane="bottomRight" state="frozen"/>
      <selection activeCell="R70" sqref="R70"/>
      <selection pane="topRight" activeCell="R70" sqref="R70"/>
      <selection pane="bottomLeft" activeCell="R70" sqref="R70"/>
      <selection pane="bottomRight" activeCell="R70" sqref="R70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5" width="11.42578125" style="1" customWidth="1"/>
    <col min="6" max="6" width="13.140625" style="1" customWidth="1"/>
    <col min="7" max="7" width="11.140625" style="51" customWidth="1"/>
    <col min="8" max="8" width="10.7109375" style="1" customWidth="1"/>
    <col min="9" max="9" width="9" style="1" customWidth="1"/>
    <col min="10" max="10" width="9.140625" style="1" customWidth="1"/>
    <col min="11" max="11" width="10" style="1" customWidth="1"/>
    <col min="12" max="12" width="1.7109375" style="1" customWidth="1"/>
    <col min="13" max="13" width="12.42578125" style="53" customWidth="1"/>
    <col min="14" max="14" width="2" style="1" customWidth="1"/>
    <col min="15" max="15" width="13.85546875" style="1" customWidth="1"/>
    <col min="16" max="16" width="3.85546875" style="1" customWidth="1"/>
    <col min="17" max="17" width="12.42578125" style="53" customWidth="1"/>
    <col min="18" max="18" width="12.5703125" style="1" customWidth="1"/>
    <col min="19" max="19" width="10.140625" style="1" bestFit="1" customWidth="1"/>
    <col min="20" max="22" width="6.85546875" style="1"/>
    <col min="23" max="23" width="10.140625" style="1" bestFit="1" customWidth="1"/>
    <col min="24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1" width="11.42578125" style="1" customWidth="1"/>
    <col min="262" max="262" width="13.140625" style="1" customWidth="1"/>
    <col min="263" max="263" width="11.140625" style="1" customWidth="1"/>
    <col min="264" max="264" width="10.7109375" style="1" customWidth="1"/>
    <col min="265" max="265" width="9" style="1" customWidth="1"/>
    <col min="266" max="266" width="9.140625" style="1" customWidth="1"/>
    <col min="267" max="267" width="10" style="1" customWidth="1"/>
    <col min="268" max="268" width="1.7109375" style="1" customWidth="1"/>
    <col min="269" max="269" width="12.42578125" style="1" customWidth="1"/>
    <col min="270" max="270" width="2" style="1" customWidth="1"/>
    <col min="271" max="271" width="13.85546875" style="1" customWidth="1"/>
    <col min="272" max="272" width="3.85546875" style="1" customWidth="1"/>
    <col min="273" max="273" width="12.42578125" style="1" customWidth="1"/>
    <col min="274" max="274" width="12.5703125" style="1" customWidth="1"/>
    <col min="275" max="275" width="10.140625" style="1" bestFit="1" customWidth="1"/>
    <col min="276" max="278" width="6.85546875" style="1"/>
    <col min="279" max="279" width="10.140625" style="1" bestFit="1" customWidth="1"/>
    <col min="280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7" width="11.42578125" style="1" customWidth="1"/>
    <col min="518" max="518" width="13.140625" style="1" customWidth="1"/>
    <col min="519" max="519" width="11.140625" style="1" customWidth="1"/>
    <col min="520" max="520" width="10.7109375" style="1" customWidth="1"/>
    <col min="521" max="521" width="9" style="1" customWidth="1"/>
    <col min="522" max="522" width="9.140625" style="1" customWidth="1"/>
    <col min="523" max="523" width="10" style="1" customWidth="1"/>
    <col min="524" max="524" width="1.7109375" style="1" customWidth="1"/>
    <col min="525" max="525" width="12.42578125" style="1" customWidth="1"/>
    <col min="526" max="526" width="2" style="1" customWidth="1"/>
    <col min="527" max="527" width="13.85546875" style="1" customWidth="1"/>
    <col min="528" max="528" width="3.85546875" style="1" customWidth="1"/>
    <col min="529" max="529" width="12.42578125" style="1" customWidth="1"/>
    <col min="530" max="530" width="12.5703125" style="1" customWidth="1"/>
    <col min="531" max="531" width="10.140625" style="1" bestFit="1" customWidth="1"/>
    <col min="532" max="534" width="6.85546875" style="1"/>
    <col min="535" max="535" width="10.140625" style="1" bestFit="1" customWidth="1"/>
    <col min="536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3" width="11.42578125" style="1" customWidth="1"/>
    <col min="774" max="774" width="13.140625" style="1" customWidth="1"/>
    <col min="775" max="775" width="11.140625" style="1" customWidth="1"/>
    <col min="776" max="776" width="10.7109375" style="1" customWidth="1"/>
    <col min="777" max="777" width="9" style="1" customWidth="1"/>
    <col min="778" max="778" width="9.140625" style="1" customWidth="1"/>
    <col min="779" max="779" width="10" style="1" customWidth="1"/>
    <col min="780" max="780" width="1.7109375" style="1" customWidth="1"/>
    <col min="781" max="781" width="12.42578125" style="1" customWidth="1"/>
    <col min="782" max="782" width="2" style="1" customWidth="1"/>
    <col min="783" max="783" width="13.85546875" style="1" customWidth="1"/>
    <col min="784" max="784" width="3.85546875" style="1" customWidth="1"/>
    <col min="785" max="785" width="12.42578125" style="1" customWidth="1"/>
    <col min="786" max="786" width="12.5703125" style="1" customWidth="1"/>
    <col min="787" max="787" width="10.140625" style="1" bestFit="1" customWidth="1"/>
    <col min="788" max="790" width="6.85546875" style="1"/>
    <col min="791" max="791" width="10.140625" style="1" bestFit="1" customWidth="1"/>
    <col min="792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29" width="11.42578125" style="1" customWidth="1"/>
    <col min="1030" max="1030" width="13.140625" style="1" customWidth="1"/>
    <col min="1031" max="1031" width="11.140625" style="1" customWidth="1"/>
    <col min="1032" max="1032" width="10.7109375" style="1" customWidth="1"/>
    <col min="1033" max="1033" width="9" style="1" customWidth="1"/>
    <col min="1034" max="1034" width="9.140625" style="1" customWidth="1"/>
    <col min="1035" max="1035" width="10" style="1" customWidth="1"/>
    <col min="1036" max="1036" width="1.7109375" style="1" customWidth="1"/>
    <col min="1037" max="1037" width="12.42578125" style="1" customWidth="1"/>
    <col min="1038" max="1038" width="2" style="1" customWidth="1"/>
    <col min="1039" max="1039" width="13.85546875" style="1" customWidth="1"/>
    <col min="1040" max="1040" width="3.85546875" style="1" customWidth="1"/>
    <col min="1041" max="1041" width="12.42578125" style="1" customWidth="1"/>
    <col min="1042" max="1042" width="12.5703125" style="1" customWidth="1"/>
    <col min="1043" max="1043" width="10.140625" style="1" bestFit="1" customWidth="1"/>
    <col min="1044" max="1046" width="6.85546875" style="1"/>
    <col min="1047" max="1047" width="10.140625" style="1" bestFit="1" customWidth="1"/>
    <col min="1048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5" width="11.42578125" style="1" customWidth="1"/>
    <col min="1286" max="1286" width="13.140625" style="1" customWidth="1"/>
    <col min="1287" max="1287" width="11.140625" style="1" customWidth="1"/>
    <col min="1288" max="1288" width="10.7109375" style="1" customWidth="1"/>
    <col min="1289" max="1289" width="9" style="1" customWidth="1"/>
    <col min="1290" max="1290" width="9.140625" style="1" customWidth="1"/>
    <col min="1291" max="1291" width="10" style="1" customWidth="1"/>
    <col min="1292" max="1292" width="1.7109375" style="1" customWidth="1"/>
    <col min="1293" max="1293" width="12.42578125" style="1" customWidth="1"/>
    <col min="1294" max="1294" width="2" style="1" customWidth="1"/>
    <col min="1295" max="1295" width="13.85546875" style="1" customWidth="1"/>
    <col min="1296" max="1296" width="3.85546875" style="1" customWidth="1"/>
    <col min="1297" max="1297" width="12.42578125" style="1" customWidth="1"/>
    <col min="1298" max="1298" width="12.5703125" style="1" customWidth="1"/>
    <col min="1299" max="1299" width="10.140625" style="1" bestFit="1" customWidth="1"/>
    <col min="1300" max="1302" width="6.85546875" style="1"/>
    <col min="1303" max="1303" width="10.140625" style="1" bestFit="1" customWidth="1"/>
    <col min="1304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1" width="11.42578125" style="1" customWidth="1"/>
    <col min="1542" max="1542" width="13.140625" style="1" customWidth="1"/>
    <col min="1543" max="1543" width="11.140625" style="1" customWidth="1"/>
    <col min="1544" max="1544" width="10.7109375" style="1" customWidth="1"/>
    <col min="1545" max="1545" width="9" style="1" customWidth="1"/>
    <col min="1546" max="1546" width="9.140625" style="1" customWidth="1"/>
    <col min="1547" max="1547" width="10" style="1" customWidth="1"/>
    <col min="1548" max="1548" width="1.7109375" style="1" customWidth="1"/>
    <col min="1549" max="1549" width="12.42578125" style="1" customWidth="1"/>
    <col min="1550" max="1550" width="2" style="1" customWidth="1"/>
    <col min="1551" max="1551" width="13.85546875" style="1" customWidth="1"/>
    <col min="1552" max="1552" width="3.85546875" style="1" customWidth="1"/>
    <col min="1553" max="1553" width="12.42578125" style="1" customWidth="1"/>
    <col min="1554" max="1554" width="12.5703125" style="1" customWidth="1"/>
    <col min="1555" max="1555" width="10.140625" style="1" bestFit="1" customWidth="1"/>
    <col min="1556" max="1558" width="6.85546875" style="1"/>
    <col min="1559" max="1559" width="10.140625" style="1" bestFit="1" customWidth="1"/>
    <col min="1560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7" width="11.42578125" style="1" customWidth="1"/>
    <col min="1798" max="1798" width="13.140625" style="1" customWidth="1"/>
    <col min="1799" max="1799" width="11.140625" style="1" customWidth="1"/>
    <col min="1800" max="1800" width="10.7109375" style="1" customWidth="1"/>
    <col min="1801" max="1801" width="9" style="1" customWidth="1"/>
    <col min="1802" max="1802" width="9.140625" style="1" customWidth="1"/>
    <col min="1803" max="1803" width="10" style="1" customWidth="1"/>
    <col min="1804" max="1804" width="1.7109375" style="1" customWidth="1"/>
    <col min="1805" max="1805" width="12.42578125" style="1" customWidth="1"/>
    <col min="1806" max="1806" width="2" style="1" customWidth="1"/>
    <col min="1807" max="1807" width="13.85546875" style="1" customWidth="1"/>
    <col min="1808" max="1808" width="3.85546875" style="1" customWidth="1"/>
    <col min="1809" max="1809" width="12.42578125" style="1" customWidth="1"/>
    <col min="1810" max="1810" width="12.5703125" style="1" customWidth="1"/>
    <col min="1811" max="1811" width="10.140625" style="1" bestFit="1" customWidth="1"/>
    <col min="1812" max="1814" width="6.85546875" style="1"/>
    <col min="1815" max="1815" width="10.140625" style="1" bestFit="1" customWidth="1"/>
    <col min="1816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3" width="11.42578125" style="1" customWidth="1"/>
    <col min="2054" max="2054" width="13.140625" style="1" customWidth="1"/>
    <col min="2055" max="2055" width="11.140625" style="1" customWidth="1"/>
    <col min="2056" max="2056" width="10.7109375" style="1" customWidth="1"/>
    <col min="2057" max="2057" width="9" style="1" customWidth="1"/>
    <col min="2058" max="2058" width="9.140625" style="1" customWidth="1"/>
    <col min="2059" max="2059" width="10" style="1" customWidth="1"/>
    <col min="2060" max="2060" width="1.7109375" style="1" customWidth="1"/>
    <col min="2061" max="2061" width="12.42578125" style="1" customWidth="1"/>
    <col min="2062" max="2062" width="2" style="1" customWidth="1"/>
    <col min="2063" max="2063" width="13.85546875" style="1" customWidth="1"/>
    <col min="2064" max="2064" width="3.85546875" style="1" customWidth="1"/>
    <col min="2065" max="2065" width="12.42578125" style="1" customWidth="1"/>
    <col min="2066" max="2066" width="12.5703125" style="1" customWidth="1"/>
    <col min="2067" max="2067" width="10.140625" style="1" bestFit="1" customWidth="1"/>
    <col min="2068" max="2070" width="6.85546875" style="1"/>
    <col min="2071" max="2071" width="10.140625" style="1" bestFit="1" customWidth="1"/>
    <col min="2072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09" width="11.42578125" style="1" customWidth="1"/>
    <col min="2310" max="2310" width="13.140625" style="1" customWidth="1"/>
    <col min="2311" max="2311" width="11.140625" style="1" customWidth="1"/>
    <col min="2312" max="2312" width="10.7109375" style="1" customWidth="1"/>
    <col min="2313" max="2313" width="9" style="1" customWidth="1"/>
    <col min="2314" max="2314" width="9.140625" style="1" customWidth="1"/>
    <col min="2315" max="2315" width="10" style="1" customWidth="1"/>
    <col min="2316" max="2316" width="1.7109375" style="1" customWidth="1"/>
    <col min="2317" max="2317" width="12.42578125" style="1" customWidth="1"/>
    <col min="2318" max="2318" width="2" style="1" customWidth="1"/>
    <col min="2319" max="2319" width="13.85546875" style="1" customWidth="1"/>
    <col min="2320" max="2320" width="3.85546875" style="1" customWidth="1"/>
    <col min="2321" max="2321" width="12.42578125" style="1" customWidth="1"/>
    <col min="2322" max="2322" width="12.5703125" style="1" customWidth="1"/>
    <col min="2323" max="2323" width="10.140625" style="1" bestFit="1" customWidth="1"/>
    <col min="2324" max="2326" width="6.85546875" style="1"/>
    <col min="2327" max="2327" width="10.140625" style="1" bestFit="1" customWidth="1"/>
    <col min="2328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5" width="11.42578125" style="1" customWidth="1"/>
    <col min="2566" max="2566" width="13.140625" style="1" customWidth="1"/>
    <col min="2567" max="2567" width="11.140625" style="1" customWidth="1"/>
    <col min="2568" max="2568" width="10.7109375" style="1" customWidth="1"/>
    <col min="2569" max="2569" width="9" style="1" customWidth="1"/>
    <col min="2570" max="2570" width="9.140625" style="1" customWidth="1"/>
    <col min="2571" max="2571" width="10" style="1" customWidth="1"/>
    <col min="2572" max="2572" width="1.7109375" style="1" customWidth="1"/>
    <col min="2573" max="2573" width="12.42578125" style="1" customWidth="1"/>
    <col min="2574" max="2574" width="2" style="1" customWidth="1"/>
    <col min="2575" max="2575" width="13.85546875" style="1" customWidth="1"/>
    <col min="2576" max="2576" width="3.85546875" style="1" customWidth="1"/>
    <col min="2577" max="2577" width="12.42578125" style="1" customWidth="1"/>
    <col min="2578" max="2578" width="12.5703125" style="1" customWidth="1"/>
    <col min="2579" max="2579" width="10.140625" style="1" bestFit="1" customWidth="1"/>
    <col min="2580" max="2582" width="6.85546875" style="1"/>
    <col min="2583" max="2583" width="10.140625" style="1" bestFit="1" customWidth="1"/>
    <col min="2584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1" width="11.42578125" style="1" customWidth="1"/>
    <col min="2822" max="2822" width="13.140625" style="1" customWidth="1"/>
    <col min="2823" max="2823" width="11.140625" style="1" customWidth="1"/>
    <col min="2824" max="2824" width="10.7109375" style="1" customWidth="1"/>
    <col min="2825" max="2825" width="9" style="1" customWidth="1"/>
    <col min="2826" max="2826" width="9.140625" style="1" customWidth="1"/>
    <col min="2827" max="2827" width="10" style="1" customWidth="1"/>
    <col min="2828" max="2828" width="1.7109375" style="1" customWidth="1"/>
    <col min="2829" max="2829" width="12.42578125" style="1" customWidth="1"/>
    <col min="2830" max="2830" width="2" style="1" customWidth="1"/>
    <col min="2831" max="2831" width="13.85546875" style="1" customWidth="1"/>
    <col min="2832" max="2832" width="3.85546875" style="1" customWidth="1"/>
    <col min="2833" max="2833" width="12.42578125" style="1" customWidth="1"/>
    <col min="2834" max="2834" width="12.5703125" style="1" customWidth="1"/>
    <col min="2835" max="2835" width="10.140625" style="1" bestFit="1" customWidth="1"/>
    <col min="2836" max="2838" width="6.85546875" style="1"/>
    <col min="2839" max="2839" width="10.140625" style="1" bestFit="1" customWidth="1"/>
    <col min="2840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7" width="11.42578125" style="1" customWidth="1"/>
    <col min="3078" max="3078" width="13.140625" style="1" customWidth="1"/>
    <col min="3079" max="3079" width="11.140625" style="1" customWidth="1"/>
    <col min="3080" max="3080" width="10.7109375" style="1" customWidth="1"/>
    <col min="3081" max="3081" width="9" style="1" customWidth="1"/>
    <col min="3082" max="3082" width="9.140625" style="1" customWidth="1"/>
    <col min="3083" max="3083" width="10" style="1" customWidth="1"/>
    <col min="3084" max="3084" width="1.7109375" style="1" customWidth="1"/>
    <col min="3085" max="3085" width="12.42578125" style="1" customWidth="1"/>
    <col min="3086" max="3086" width="2" style="1" customWidth="1"/>
    <col min="3087" max="3087" width="13.85546875" style="1" customWidth="1"/>
    <col min="3088" max="3088" width="3.85546875" style="1" customWidth="1"/>
    <col min="3089" max="3089" width="12.42578125" style="1" customWidth="1"/>
    <col min="3090" max="3090" width="12.5703125" style="1" customWidth="1"/>
    <col min="3091" max="3091" width="10.140625" style="1" bestFit="1" customWidth="1"/>
    <col min="3092" max="3094" width="6.85546875" style="1"/>
    <col min="3095" max="3095" width="10.140625" style="1" bestFit="1" customWidth="1"/>
    <col min="3096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3" width="11.42578125" style="1" customWidth="1"/>
    <col min="3334" max="3334" width="13.140625" style="1" customWidth="1"/>
    <col min="3335" max="3335" width="11.140625" style="1" customWidth="1"/>
    <col min="3336" max="3336" width="10.7109375" style="1" customWidth="1"/>
    <col min="3337" max="3337" width="9" style="1" customWidth="1"/>
    <col min="3338" max="3338" width="9.140625" style="1" customWidth="1"/>
    <col min="3339" max="3339" width="10" style="1" customWidth="1"/>
    <col min="3340" max="3340" width="1.7109375" style="1" customWidth="1"/>
    <col min="3341" max="3341" width="12.42578125" style="1" customWidth="1"/>
    <col min="3342" max="3342" width="2" style="1" customWidth="1"/>
    <col min="3343" max="3343" width="13.85546875" style="1" customWidth="1"/>
    <col min="3344" max="3344" width="3.85546875" style="1" customWidth="1"/>
    <col min="3345" max="3345" width="12.42578125" style="1" customWidth="1"/>
    <col min="3346" max="3346" width="12.5703125" style="1" customWidth="1"/>
    <col min="3347" max="3347" width="10.140625" style="1" bestFit="1" customWidth="1"/>
    <col min="3348" max="3350" width="6.85546875" style="1"/>
    <col min="3351" max="3351" width="10.140625" style="1" bestFit="1" customWidth="1"/>
    <col min="3352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89" width="11.42578125" style="1" customWidth="1"/>
    <col min="3590" max="3590" width="13.140625" style="1" customWidth="1"/>
    <col min="3591" max="3591" width="11.140625" style="1" customWidth="1"/>
    <col min="3592" max="3592" width="10.7109375" style="1" customWidth="1"/>
    <col min="3593" max="3593" width="9" style="1" customWidth="1"/>
    <col min="3594" max="3594" width="9.140625" style="1" customWidth="1"/>
    <col min="3595" max="3595" width="10" style="1" customWidth="1"/>
    <col min="3596" max="3596" width="1.7109375" style="1" customWidth="1"/>
    <col min="3597" max="3597" width="12.42578125" style="1" customWidth="1"/>
    <col min="3598" max="3598" width="2" style="1" customWidth="1"/>
    <col min="3599" max="3599" width="13.85546875" style="1" customWidth="1"/>
    <col min="3600" max="3600" width="3.85546875" style="1" customWidth="1"/>
    <col min="3601" max="3601" width="12.42578125" style="1" customWidth="1"/>
    <col min="3602" max="3602" width="12.5703125" style="1" customWidth="1"/>
    <col min="3603" max="3603" width="10.140625" style="1" bestFit="1" customWidth="1"/>
    <col min="3604" max="3606" width="6.85546875" style="1"/>
    <col min="3607" max="3607" width="10.140625" style="1" bestFit="1" customWidth="1"/>
    <col min="3608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5" width="11.42578125" style="1" customWidth="1"/>
    <col min="3846" max="3846" width="13.140625" style="1" customWidth="1"/>
    <col min="3847" max="3847" width="11.140625" style="1" customWidth="1"/>
    <col min="3848" max="3848" width="10.7109375" style="1" customWidth="1"/>
    <col min="3849" max="3849" width="9" style="1" customWidth="1"/>
    <col min="3850" max="3850" width="9.140625" style="1" customWidth="1"/>
    <col min="3851" max="3851" width="10" style="1" customWidth="1"/>
    <col min="3852" max="3852" width="1.7109375" style="1" customWidth="1"/>
    <col min="3853" max="3853" width="12.42578125" style="1" customWidth="1"/>
    <col min="3854" max="3854" width="2" style="1" customWidth="1"/>
    <col min="3855" max="3855" width="13.85546875" style="1" customWidth="1"/>
    <col min="3856" max="3856" width="3.85546875" style="1" customWidth="1"/>
    <col min="3857" max="3857" width="12.42578125" style="1" customWidth="1"/>
    <col min="3858" max="3858" width="12.5703125" style="1" customWidth="1"/>
    <col min="3859" max="3859" width="10.140625" style="1" bestFit="1" customWidth="1"/>
    <col min="3860" max="3862" width="6.85546875" style="1"/>
    <col min="3863" max="3863" width="10.140625" style="1" bestFit="1" customWidth="1"/>
    <col min="3864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1" width="11.42578125" style="1" customWidth="1"/>
    <col min="4102" max="4102" width="13.140625" style="1" customWidth="1"/>
    <col min="4103" max="4103" width="11.140625" style="1" customWidth="1"/>
    <col min="4104" max="4104" width="10.7109375" style="1" customWidth="1"/>
    <col min="4105" max="4105" width="9" style="1" customWidth="1"/>
    <col min="4106" max="4106" width="9.140625" style="1" customWidth="1"/>
    <col min="4107" max="4107" width="10" style="1" customWidth="1"/>
    <col min="4108" max="4108" width="1.7109375" style="1" customWidth="1"/>
    <col min="4109" max="4109" width="12.42578125" style="1" customWidth="1"/>
    <col min="4110" max="4110" width="2" style="1" customWidth="1"/>
    <col min="4111" max="4111" width="13.85546875" style="1" customWidth="1"/>
    <col min="4112" max="4112" width="3.85546875" style="1" customWidth="1"/>
    <col min="4113" max="4113" width="12.42578125" style="1" customWidth="1"/>
    <col min="4114" max="4114" width="12.5703125" style="1" customWidth="1"/>
    <col min="4115" max="4115" width="10.140625" style="1" bestFit="1" customWidth="1"/>
    <col min="4116" max="4118" width="6.85546875" style="1"/>
    <col min="4119" max="4119" width="10.140625" style="1" bestFit="1" customWidth="1"/>
    <col min="4120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7" width="11.42578125" style="1" customWidth="1"/>
    <col min="4358" max="4358" width="13.140625" style="1" customWidth="1"/>
    <col min="4359" max="4359" width="11.140625" style="1" customWidth="1"/>
    <col min="4360" max="4360" width="10.7109375" style="1" customWidth="1"/>
    <col min="4361" max="4361" width="9" style="1" customWidth="1"/>
    <col min="4362" max="4362" width="9.140625" style="1" customWidth="1"/>
    <col min="4363" max="4363" width="10" style="1" customWidth="1"/>
    <col min="4364" max="4364" width="1.7109375" style="1" customWidth="1"/>
    <col min="4365" max="4365" width="12.42578125" style="1" customWidth="1"/>
    <col min="4366" max="4366" width="2" style="1" customWidth="1"/>
    <col min="4367" max="4367" width="13.85546875" style="1" customWidth="1"/>
    <col min="4368" max="4368" width="3.85546875" style="1" customWidth="1"/>
    <col min="4369" max="4369" width="12.42578125" style="1" customWidth="1"/>
    <col min="4370" max="4370" width="12.5703125" style="1" customWidth="1"/>
    <col min="4371" max="4371" width="10.140625" style="1" bestFit="1" customWidth="1"/>
    <col min="4372" max="4374" width="6.85546875" style="1"/>
    <col min="4375" max="4375" width="10.140625" style="1" bestFit="1" customWidth="1"/>
    <col min="4376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3" width="11.42578125" style="1" customWidth="1"/>
    <col min="4614" max="4614" width="13.140625" style="1" customWidth="1"/>
    <col min="4615" max="4615" width="11.140625" style="1" customWidth="1"/>
    <col min="4616" max="4616" width="10.7109375" style="1" customWidth="1"/>
    <col min="4617" max="4617" width="9" style="1" customWidth="1"/>
    <col min="4618" max="4618" width="9.140625" style="1" customWidth="1"/>
    <col min="4619" max="4619" width="10" style="1" customWidth="1"/>
    <col min="4620" max="4620" width="1.7109375" style="1" customWidth="1"/>
    <col min="4621" max="4621" width="12.42578125" style="1" customWidth="1"/>
    <col min="4622" max="4622" width="2" style="1" customWidth="1"/>
    <col min="4623" max="4623" width="13.85546875" style="1" customWidth="1"/>
    <col min="4624" max="4624" width="3.85546875" style="1" customWidth="1"/>
    <col min="4625" max="4625" width="12.42578125" style="1" customWidth="1"/>
    <col min="4626" max="4626" width="12.5703125" style="1" customWidth="1"/>
    <col min="4627" max="4627" width="10.140625" style="1" bestFit="1" customWidth="1"/>
    <col min="4628" max="4630" width="6.85546875" style="1"/>
    <col min="4631" max="4631" width="10.140625" style="1" bestFit="1" customWidth="1"/>
    <col min="4632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69" width="11.42578125" style="1" customWidth="1"/>
    <col min="4870" max="4870" width="13.140625" style="1" customWidth="1"/>
    <col min="4871" max="4871" width="11.140625" style="1" customWidth="1"/>
    <col min="4872" max="4872" width="10.7109375" style="1" customWidth="1"/>
    <col min="4873" max="4873" width="9" style="1" customWidth="1"/>
    <col min="4874" max="4874" width="9.140625" style="1" customWidth="1"/>
    <col min="4875" max="4875" width="10" style="1" customWidth="1"/>
    <col min="4876" max="4876" width="1.7109375" style="1" customWidth="1"/>
    <col min="4877" max="4877" width="12.42578125" style="1" customWidth="1"/>
    <col min="4878" max="4878" width="2" style="1" customWidth="1"/>
    <col min="4879" max="4879" width="13.85546875" style="1" customWidth="1"/>
    <col min="4880" max="4880" width="3.85546875" style="1" customWidth="1"/>
    <col min="4881" max="4881" width="12.42578125" style="1" customWidth="1"/>
    <col min="4882" max="4882" width="12.5703125" style="1" customWidth="1"/>
    <col min="4883" max="4883" width="10.140625" style="1" bestFit="1" customWidth="1"/>
    <col min="4884" max="4886" width="6.85546875" style="1"/>
    <col min="4887" max="4887" width="10.140625" style="1" bestFit="1" customWidth="1"/>
    <col min="4888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5" width="11.42578125" style="1" customWidth="1"/>
    <col min="5126" max="5126" width="13.140625" style="1" customWidth="1"/>
    <col min="5127" max="5127" width="11.140625" style="1" customWidth="1"/>
    <col min="5128" max="5128" width="10.7109375" style="1" customWidth="1"/>
    <col min="5129" max="5129" width="9" style="1" customWidth="1"/>
    <col min="5130" max="5130" width="9.140625" style="1" customWidth="1"/>
    <col min="5131" max="5131" width="10" style="1" customWidth="1"/>
    <col min="5132" max="5132" width="1.7109375" style="1" customWidth="1"/>
    <col min="5133" max="5133" width="12.42578125" style="1" customWidth="1"/>
    <col min="5134" max="5134" width="2" style="1" customWidth="1"/>
    <col min="5135" max="5135" width="13.85546875" style="1" customWidth="1"/>
    <col min="5136" max="5136" width="3.85546875" style="1" customWidth="1"/>
    <col min="5137" max="5137" width="12.42578125" style="1" customWidth="1"/>
    <col min="5138" max="5138" width="12.5703125" style="1" customWidth="1"/>
    <col min="5139" max="5139" width="10.140625" style="1" bestFit="1" customWidth="1"/>
    <col min="5140" max="5142" width="6.85546875" style="1"/>
    <col min="5143" max="5143" width="10.140625" style="1" bestFit="1" customWidth="1"/>
    <col min="5144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1" width="11.42578125" style="1" customWidth="1"/>
    <col min="5382" max="5382" width="13.140625" style="1" customWidth="1"/>
    <col min="5383" max="5383" width="11.140625" style="1" customWidth="1"/>
    <col min="5384" max="5384" width="10.7109375" style="1" customWidth="1"/>
    <col min="5385" max="5385" width="9" style="1" customWidth="1"/>
    <col min="5386" max="5386" width="9.140625" style="1" customWidth="1"/>
    <col min="5387" max="5387" width="10" style="1" customWidth="1"/>
    <col min="5388" max="5388" width="1.7109375" style="1" customWidth="1"/>
    <col min="5389" max="5389" width="12.42578125" style="1" customWidth="1"/>
    <col min="5390" max="5390" width="2" style="1" customWidth="1"/>
    <col min="5391" max="5391" width="13.85546875" style="1" customWidth="1"/>
    <col min="5392" max="5392" width="3.85546875" style="1" customWidth="1"/>
    <col min="5393" max="5393" width="12.42578125" style="1" customWidth="1"/>
    <col min="5394" max="5394" width="12.5703125" style="1" customWidth="1"/>
    <col min="5395" max="5395" width="10.140625" style="1" bestFit="1" customWidth="1"/>
    <col min="5396" max="5398" width="6.85546875" style="1"/>
    <col min="5399" max="5399" width="10.140625" style="1" bestFit="1" customWidth="1"/>
    <col min="5400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7" width="11.42578125" style="1" customWidth="1"/>
    <col min="5638" max="5638" width="13.140625" style="1" customWidth="1"/>
    <col min="5639" max="5639" width="11.140625" style="1" customWidth="1"/>
    <col min="5640" max="5640" width="10.7109375" style="1" customWidth="1"/>
    <col min="5641" max="5641" width="9" style="1" customWidth="1"/>
    <col min="5642" max="5642" width="9.140625" style="1" customWidth="1"/>
    <col min="5643" max="5643" width="10" style="1" customWidth="1"/>
    <col min="5644" max="5644" width="1.7109375" style="1" customWidth="1"/>
    <col min="5645" max="5645" width="12.42578125" style="1" customWidth="1"/>
    <col min="5646" max="5646" width="2" style="1" customWidth="1"/>
    <col min="5647" max="5647" width="13.85546875" style="1" customWidth="1"/>
    <col min="5648" max="5648" width="3.85546875" style="1" customWidth="1"/>
    <col min="5649" max="5649" width="12.42578125" style="1" customWidth="1"/>
    <col min="5650" max="5650" width="12.5703125" style="1" customWidth="1"/>
    <col min="5651" max="5651" width="10.140625" style="1" bestFit="1" customWidth="1"/>
    <col min="5652" max="5654" width="6.85546875" style="1"/>
    <col min="5655" max="5655" width="10.140625" style="1" bestFit="1" customWidth="1"/>
    <col min="5656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3" width="11.42578125" style="1" customWidth="1"/>
    <col min="5894" max="5894" width="13.140625" style="1" customWidth="1"/>
    <col min="5895" max="5895" width="11.140625" style="1" customWidth="1"/>
    <col min="5896" max="5896" width="10.7109375" style="1" customWidth="1"/>
    <col min="5897" max="5897" width="9" style="1" customWidth="1"/>
    <col min="5898" max="5898" width="9.140625" style="1" customWidth="1"/>
    <col min="5899" max="5899" width="10" style="1" customWidth="1"/>
    <col min="5900" max="5900" width="1.7109375" style="1" customWidth="1"/>
    <col min="5901" max="5901" width="12.42578125" style="1" customWidth="1"/>
    <col min="5902" max="5902" width="2" style="1" customWidth="1"/>
    <col min="5903" max="5903" width="13.85546875" style="1" customWidth="1"/>
    <col min="5904" max="5904" width="3.85546875" style="1" customWidth="1"/>
    <col min="5905" max="5905" width="12.42578125" style="1" customWidth="1"/>
    <col min="5906" max="5906" width="12.5703125" style="1" customWidth="1"/>
    <col min="5907" max="5907" width="10.140625" style="1" bestFit="1" customWidth="1"/>
    <col min="5908" max="5910" width="6.85546875" style="1"/>
    <col min="5911" max="5911" width="10.140625" style="1" bestFit="1" customWidth="1"/>
    <col min="5912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49" width="11.42578125" style="1" customWidth="1"/>
    <col min="6150" max="6150" width="13.140625" style="1" customWidth="1"/>
    <col min="6151" max="6151" width="11.140625" style="1" customWidth="1"/>
    <col min="6152" max="6152" width="10.7109375" style="1" customWidth="1"/>
    <col min="6153" max="6153" width="9" style="1" customWidth="1"/>
    <col min="6154" max="6154" width="9.140625" style="1" customWidth="1"/>
    <col min="6155" max="6155" width="10" style="1" customWidth="1"/>
    <col min="6156" max="6156" width="1.7109375" style="1" customWidth="1"/>
    <col min="6157" max="6157" width="12.42578125" style="1" customWidth="1"/>
    <col min="6158" max="6158" width="2" style="1" customWidth="1"/>
    <col min="6159" max="6159" width="13.85546875" style="1" customWidth="1"/>
    <col min="6160" max="6160" width="3.85546875" style="1" customWidth="1"/>
    <col min="6161" max="6161" width="12.42578125" style="1" customWidth="1"/>
    <col min="6162" max="6162" width="12.5703125" style="1" customWidth="1"/>
    <col min="6163" max="6163" width="10.140625" style="1" bestFit="1" customWidth="1"/>
    <col min="6164" max="6166" width="6.85546875" style="1"/>
    <col min="6167" max="6167" width="10.140625" style="1" bestFit="1" customWidth="1"/>
    <col min="6168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5" width="11.42578125" style="1" customWidth="1"/>
    <col min="6406" max="6406" width="13.140625" style="1" customWidth="1"/>
    <col min="6407" max="6407" width="11.140625" style="1" customWidth="1"/>
    <col min="6408" max="6408" width="10.7109375" style="1" customWidth="1"/>
    <col min="6409" max="6409" width="9" style="1" customWidth="1"/>
    <col min="6410" max="6410" width="9.140625" style="1" customWidth="1"/>
    <col min="6411" max="6411" width="10" style="1" customWidth="1"/>
    <col min="6412" max="6412" width="1.7109375" style="1" customWidth="1"/>
    <col min="6413" max="6413" width="12.42578125" style="1" customWidth="1"/>
    <col min="6414" max="6414" width="2" style="1" customWidth="1"/>
    <col min="6415" max="6415" width="13.85546875" style="1" customWidth="1"/>
    <col min="6416" max="6416" width="3.85546875" style="1" customWidth="1"/>
    <col min="6417" max="6417" width="12.42578125" style="1" customWidth="1"/>
    <col min="6418" max="6418" width="12.5703125" style="1" customWidth="1"/>
    <col min="6419" max="6419" width="10.140625" style="1" bestFit="1" customWidth="1"/>
    <col min="6420" max="6422" width="6.85546875" style="1"/>
    <col min="6423" max="6423" width="10.140625" style="1" bestFit="1" customWidth="1"/>
    <col min="6424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1" width="11.42578125" style="1" customWidth="1"/>
    <col min="6662" max="6662" width="13.140625" style="1" customWidth="1"/>
    <col min="6663" max="6663" width="11.140625" style="1" customWidth="1"/>
    <col min="6664" max="6664" width="10.7109375" style="1" customWidth="1"/>
    <col min="6665" max="6665" width="9" style="1" customWidth="1"/>
    <col min="6666" max="6666" width="9.140625" style="1" customWidth="1"/>
    <col min="6667" max="6667" width="10" style="1" customWidth="1"/>
    <col min="6668" max="6668" width="1.7109375" style="1" customWidth="1"/>
    <col min="6669" max="6669" width="12.42578125" style="1" customWidth="1"/>
    <col min="6670" max="6670" width="2" style="1" customWidth="1"/>
    <col min="6671" max="6671" width="13.85546875" style="1" customWidth="1"/>
    <col min="6672" max="6672" width="3.85546875" style="1" customWidth="1"/>
    <col min="6673" max="6673" width="12.42578125" style="1" customWidth="1"/>
    <col min="6674" max="6674" width="12.5703125" style="1" customWidth="1"/>
    <col min="6675" max="6675" width="10.140625" style="1" bestFit="1" customWidth="1"/>
    <col min="6676" max="6678" width="6.85546875" style="1"/>
    <col min="6679" max="6679" width="10.140625" style="1" bestFit="1" customWidth="1"/>
    <col min="6680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7" width="11.42578125" style="1" customWidth="1"/>
    <col min="6918" max="6918" width="13.140625" style="1" customWidth="1"/>
    <col min="6919" max="6919" width="11.140625" style="1" customWidth="1"/>
    <col min="6920" max="6920" width="10.7109375" style="1" customWidth="1"/>
    <col min="6921" max="6921" width="9" style="1" customWidth="1"/>
    <col min="6922" max="6922" width="9.140625" style="1" customWidth="1"/>
    <col min="6923" max="6923" width="10" style="1" customWidth="1"/>
    <col min="6924" max="6924" width="1.7109375" style="1" customWidth="1"/>
    <col min="6925" max="6925" width="12.42578125" style="1" customWidth="1"/>
    <col min="6926" max="6926" width="2" style="1" customWidth="1"/>
    <col min="6927" max="6927" width="13.85546875" style="1" customWidth="1"/>
    <col min="6928" max="6928" width="3.85546875" style="1" customWidth="1"/>
    <col min="6929" max="6929" width="12.42578125" style="1" customWidth="1"/>
    <col min="6930" max="6930" width="12.5703125" style="1" customWidth="1"/>
    <col min="6931" max="6931" width="10.140625" style="1" bestFit="1" customWidth="1"/>
    <col min="6932" max="6934" width="6.85546875" style="1"/>
    <col min="6935" max="6935" width="10.140625" style="1" bestFit="1" customWidth="1"/>
    <col min="6936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3" width="11.42578125" style="1" customWidth="1"/>
    <col min="7174" max="7174" width="13.140625" style="1" customWidth="1"/>
    <col min="7175" max="7175" width="11.140625" style="1" customWidth="1"/>
    <col min="7176" max="7176" width="10.7109375" style="1" customWidth="1"/>
    <col min="7177" max="7177" width="9" style="1" customWidth="1"/>
    <col min="7178" max="7178" width="9.140625" style="1" customWidth="1"/>
    <col min="7179" max="7179" width="10" style="1" customWidth="1"/>
    <col min="7180" max="7180" width="1.7109375" style="1" customWidth="1"/>
    <col min="7181" max="7181" width="12.42578125" style="1" customWidth="1"/>
    <col min="7182" max="7182" width="2" style="1" customWidth="1"/>
    <col min="7183" max="7183" width="13.85546875" style="1" customWidth="1"/>
    <col min="7184" max="7184" width="3.85546875" style="1" customWidth="1"/>
    <col min="7185" max="7185" width="12.42578125" style="1" customWidth="1"/>
    <col min="7186" max="7186" width="12.5703125" style="1" customWidth="1"/>
    <col min="7187" max="7187" width="10.140625" style="1" bestFit="1" customWidth="1"/>
    <col min="7188" max="7190" width="6.85546875" style="1"/>
    <col min="7191" max="7191" width="10.140625" style="1" bestFit="1" customWidth="1"/>
    <col min="7192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29" width="11.42578125" style="1" customWidth="1"/>
    <col min="7430" max="7430" width="13.140625" style="1" customWidth="1"/>
    <col min="7431" max="7431" width="11.140625" style="1" customWidth="1"/>
    <col min="7432" max="7432" width="10.7109375" style="1" customWidth="1"/>
    <col min="7433" max="7433" width="9" style="1" customWidth="1"/>
    <col min="7434" max="7434" width="9.140625" style="1" customWidth="1"/>
    <col min="7435" max="7435" width="10" style="1" customWidth="1"/>
    <col min="7436" max="7436" width="1.7109375" style="1" customWidth="1"/>
    <col min="7437" max="7437" width="12.42578125" style="1" customWidth="1"/>
    <col min="7438" max="7438" width="2" style="1" customWidth="1"/>
    <col min="7439" max="7439" width="13.85546875" style="1" customWidth="1"/>
    <col min="7440" max="7440" width="3.85546875" style="1" customWidth="1"/>
    <col min="7441" max="7441" width="12.42578125" style="1" customWidth="1"/>
    <col min="7442" max="7442" width="12.5703125" style="1" customWidth="1"/>
    <col min="7443" max="7443" width="10.140625" style="1" bestFit="1" customWidth="1"/>
    <col min="7444" max="7446" width="6.85546875" style="1"/>
    <col min="7447" max="7447" width="10.140625" style="1" bestFit="1" customWidth="1"/>
    <col min="7448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5" width="11.42578125" style="1" customWidth="1"/>
    <col min="7686" max="7686" width="13.140625" style="1" customWidth="1"/>
    <col min="7687" max="7687" width="11.140625" style="1" customWidth="1"/>
    <col min="7688" max="7688" width="10.7109375" style="1" customWidth="1"/>
    <col min="7689" max="7689" width="9" style="1" customWidth="1"/>
    <col min="7690" max="7690" width="9.140625" style="1" customWidth="1"/>
    <col min="7691" max="7691" width="10" style="1" customWidth="1"/>
    <col min="7692" max="7692" width="1.7109375" style="1" customWidth="1"/>
    <col min="7693" max="7693" width="12.42578125" style="1" customWidth="1"/>
    <col min="7694" max="7694" width="2" style="1" customWidth="1"/>
    <col min="7695" max="7695" width="13.85546875" style="1" customWidth="1"/>
    <col min="7696" max="7696" width="3.85546875" style="1" customWidth="1"/>
    <col min="7697" max="7697" width="12.42578125" style="1" customWidth="1"/>
    <col min="7698" max="7698" width="12.5703125" style="1" customWidth="1"/>
    <col min="7699" max="7699" width="10.140625" style="1" bestFit="1" customWidth="1"/>
    <col min="7700" max="7702" width="6.85546875" style="1"/>
    <col min="7703" max="7703" width="10.140625" style="1" bestFit="1" customWidth="1"/>
    <col min="7704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1" width="11.42578125" style="1" customWidth="1"/>
    <col min="7942" max="7942" width="13.140625" style="1" customWidth="1"/>
    <col min="7943" max="7943" width="11.140625" style="1" customWidth="1"/>
    <col min="7944" max="7944" width="10.7109375" style="1" customWidth="1"/>
    <col min="7945" max="7945" width="9" style="1" customWidth="1"/>
    <col min="7946" max="7946" width="9.140625" style="1" customWidth="1"/>
    <col min="7947" max="7947" width="10" style="1" customWidth="1"/>
    <col min="7948" max="7948" width="1.7109375" style="1" customWidth="1"/>
    <col min="7949" max="7949" width="12.42578125" style="1" customWidth="1"/>
    <col min="7950" max="7950" width="2" style="1" customWidth="1"/>
    <col min="7951" max="7951" width="13.85546875" style="1" customWidth="1"/>
    <col min="7952" max="7952" width="3.85546875" style="1" customWidth="1"/>
    <col min="7953" max="7953" width="12.42578125" style="1" customWidth="1"/>
    <col min="7954" max="7954" width="12.5703125" style="1" customWidth="1"/>
    <col min="7955" max="7955" width="10.140625" style="1" bestFit="1" customWidth="1"/>
    <col min="7956" max="7958" width="6.85546875" style="1"/>
    <col min="7959" max="7959" width="10.140625" style="1" bestFit="1" customWidth="1"/>
    <col min="7960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7" width="11.42578125" style="1" customWidth="1"/>
    <col min="8198" max="8198" width="13.140625" style="1" customWidth="1"/>
    <col min="8199" max="8199" width="11.140625" style="1" customWidth="1"/>
    <col min="8200" max="8200" width="10.7109375" style="1" customWidth="1"/>
    <col min="8201" max="8201" width="9" style="1" customWidth="1"/>
    <col min="8202" max="8202" width="9.140625" style="1" customWidth="1"/>
    <col min="8203" max="8203" width="10" style="1" customWidth="1"/>
    <col min="8204" max="8204" width="1.7109375" style="1" customWidth="1"/>
    <col min="8205" max="8205" width="12.42578125" style="1" customWidth="1"/>
    <col min="8206" max="8206" width="2" style="1" customWidth="1"/>
    <col min="8207" max="8207" width="13.85546875" style="1" customWidth="1"/>
    <col min="8208" max="8208" width="3.85546875" style="1" customWidth="1"/>
    <col min="8209" max="8209" width="12.42578125" style="1" customWidth="1"/>
    <col min="8210" max="8210" width="12.5703125" style="1" customWidth="1"/>
    <col min="8211" max="8211" width="10.140625" style="1" bestFit="1" customWidth="1"/>
    <col min="8212" max="8214" width="6.85546875" style="1"/>
    <col min="8215" max="8215" width="10.140625" style="1" bestFit="1" customWidth="1"/>
    <col min="8216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3" width="11.42578125" style="1" customWidth="1"/>
    <col min="8454" max="8454" width="13.140625" style="1" customWidth="1"/>
    <col min="8455" max="8455" width="11.140625" style="1" customWidth="1"/>
    <col min="8456" max="8456" width="10.7109375" style="1" customWidth="1"/>
    <col min="8457" max="8457" width="9" style="1" customWidth="1"/>
    <col min="8458" max="8458" width="9.140625" style="1" customWidth="1"/>
    <col min="8459" max="8459" width="10" style="1" customWidth="1"/>
    <col min="8460" max="8460" width="1.7109375" style="1" customWidth="1"/>
    <col min="8461" max="8461" width="12.42578125" style="1" customWidth="1"/>
    <col min="8462" max="8462" width="2" style="1" customWidth="1"/>
    <col min="8463" max="8463" width="13.85546875" style="1" customWidth="1"/>
    <col min="8464" max="8464" width="3.85546875" style="1" customWidth="1"/>
    <col min="8465" max="8465" width="12.42578125" style="1" customWidth="1"/>
    <col min="8466" max="8466" width="12.5703125" style="1" customWidth="1"/>
    <col min="8467" max="8467" width="10.140625" style="1" bestFit="1" customWidth="1"/>
    <col min="8468" max="8470" width="6.85546875" style="1"/>
    <col min="8471" max="8471" width="10.140625" style="1" bestFit="1" customWidth="1"/>
    <col min="8472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09" width="11.42578125" style="1" customWidth="1"/>
    <col min="8710" max="8710" width="13.140625" style="1" customWidth="1"/>
    <col min="8711" max="8711" width="11.140625" style="1" customWidth="1"/>
    <col min="8712" max="8712" width="10.7109375" style="1" customWidth="1"/>
    <col min="8713" max="8713" width="9" style="1" customWidth="1"/>
    <col min="8714" max="8714" width="9.140625" style="1" customWidth="1"/>
    <col min="8715" max="8715" width="10" style="1" customWidth="1"/>
    <col min="8716" max="8716" width="1.7109375" style="1" customWidth="1"/>
    <col min="8717" max="8717" width="12.42578125" style="1" customWidth="1"/>
    <col min="8718" max="8718" width="2" style="1" customWidth="1"/>
    <col min="8719" max="8719" width="13.85546875" style="1" customWidth="1"/>
    <col min="8720" max="8720" width="3.85546875" style="1" customWidth="1"/>
    <col min="8721" max="8721" width="12.42578125" style="1" customWidth="1"/>
    <col min="8722" max="8722" width="12.5703125" style="1" customWidth="1"/>
    <col min="8723" max="8723" width="10.140625" style="1" bestFit="1" customWidth="1"/>
    <col min="8724" max="8726" width="6.85546875" style="1"/>
    <col min="8727" max="8727" width="10.140625" style="1" bestFit="1" customWidth="1"/>
    <col min="8728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5" width="11.42578125" style="1" customWidth="1"/>
    <col min="8966" max="8966" width="13.140625" style="1" customWidth="1"/>
    <col min="8967" max="8967" width="11.140625" style="1" customWidth="1"/>
    <col min="8968" max="8968" width="10.7109375" style="1" customWidth="1"/>
    <col min="8969" max="8969" width="9" style="1" customWidth="1"/>
    <col min="8970" max="8970" width="9.140625" style="1" customWidth="1"/>
    <col min="8971" max="8971" width="10" style="1" customWidth="1"/>
    <col min="8972" max="8972" width="1.7109375" style="1" customWidth="1"/>
    <col min="8973" max="8973" width="12.42578125" style="1" customWidth="1"/>
    <col min="8974" max="8974" width="2" style="1" customWidth="1"/>
    <col min="8975" max="8975" width="13.85546875" style="1" customWidth="1"/>
    <col min="8976" max="8976" width="3.85546875" style="1" customWidth="1"/>
    <col min="8977" max="8977" width="12.42578125" style="1" customWidth="1"/>
    <col min="8978" max="8978" width="12.5703125" style="1" customWidth="1"/>
    <col min="8979" max="8979" width="10.140625" style="1" bestFit="1" customWidth="1"/>
    <col min="8980" max="8982" width="6.85546875" style="1"/>
    <col min="8983" max="8983" width="10.140625" style="1" bestFit="1" customWidth="1"/>
    <col min="8984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1" width="11.42578125" style="1" customWidth="1"/>
    <col min="9222" max="9222" width="13.140625" style="1" customWidth="1"/>
    <col min="9223" max="9223" width="11.140625" style="1" customWidth="1"/>
    <col min="9224" max="9224" width="10.7109375" style="1" customWidth="1"/>
    <col min="9225" max="9225" width="9" style="1" customWidth="1"/>
    <col min="9226" max="9226" width="9.140625" style="1" customWidth="1"/>
    <col min="9227" max="9227" width="10" style="1" customWidth="1"/>
    <col min="9228" max="9228" width="1.7109375" style="1" customWidth="1"/>
    <col min="9229" max="9229" width="12.42578125" style="1" customWidth="1"/>
    <col min="9230" max="9230" width="2" style="1" customWidth="1"/>
    <col min="9231" max="9231" width="13.85546875" style="1" customWidth="1"/>
    <col min="9232" max="9232" width="3.85546875" style="1" customWidth="1"/>
    <col min="9233" max="9233" width="12.42578125" style="1" customWidth="1"/>
    <col min="9234" max="9234" width="12.5703125" style="1" customWidth="1"/>
    <col min="9235" max="9235" width="10.140625" style="1" bestFit="1" customWidth="1"/>
    <col min="9236" max="9238" width="6.85546875" style="1"/>
    <col min="9239" max="9239" width="10.140625" style="1" bestFit="1" customWidth="1"/>
    <col min="9240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7" width="11.42578125" style="1" customWidth="1"/>
    <col min="9478" max="9478" width="13.140625" style="1" customWidth="1"/>
    <col min="9479" max="9479" width="11.140625" style="1" customWidth="1"/>
    <col min="9480" max="9480" width="10.7109375" style="1" customWidth="1"/>
    <col min="9481" max="9481" width="9" style="1" customWidth="1"/>
    <col min="9482" max="9482" width="9.140625" style="1" customWidth="1"/>
    <col min="9483" max="9483" width="10" style="1" customWidth="1"/>
    <col min="9484" max="9484" width="1.7109375" style="1" customWidth="1"/>
    <col min="9485" max="9485" width="12.42578125" style="1" customWidth="1"/>
    <col min="9486" max="9486" width="2" style="1" customWidth="1"/>
    <col min="9487" max="9487" width="13.85546875" style="1" customWidth="1"/>
    <col min="9488" max="9488" width="3.85546875" style="1" customWidth="1"/>
    <col min="9489" max="9489" width="12.42578125" style="1" customWidth="1"/>
    <col min="9490" max="9490" width="12.5703125" style="1" customWidth="1"/>
    <col min="9491" max="9491" width="10.140625" style="1" bestFit="1" customWidth="1"/>
    <col min="9492" max="9494" width="6.85546875" style="1"/>
    <col min="9495" max="9495" width="10.140625" style="1" bestFit="1" customWidth="1"/>
    <col min="9496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3" width="11.42578125" style="1" customWidth="1"/>
    <col min="9734" max="9734" width="13.140625" style="1" customWidth="1"/>
    <col min="9735" max="9735" width="11.140625" style="1" customWidth="1"/>
    <col min="9736" max="9736" width="10.7109375" style="1" customWidth="1"/>
    <col min="9737" max="9737" width="9" style="1" customWidth="1"/>
    <col min="9738" max="9738" width="9.140625" style="1" customWidth="1"/>
    <col min="9739" max="9739" width="10" style="1" customWidth="1"/>
    <col min="9740" max="9740" width="1.7109375" style="1" customWidth="1"/>
    <col min="9741" max="9741" width="12.42578125" style="1" customWidth="1"/>
    <col min="9742" max="9742" width="2" style="1" customWidth="1"/>
    <col min="9743" max="9743" width="13.85546875" style="1" customWidth="1"/>
    <col min="9744" max="9744" width="3.85546875" style="1" customWidth="1"/>
    <col min="9745" max="9745" width="12.42578125" style="1" customWidth="1"/>
    <col min="9746" max="9746" width="12.5703125" style="1" customWidth="1"/>
    <col min="9747" max="9747" width="10.140625" style="1" bestFit="1" customWidth="1"/>
    <col min="9748" max="9750" width="6.85546875" style="1"/>
    <col min="9751" max="9751" width="10.140625" style="1" bestFit="1" customWidth="1"/>
    <col min="9752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89" width="11.42578125" style="1" customWidth="1"/>
    <col min="9990" max="9990" width="13.140625" style="1" customWidth="1"/>
    <col min="9991" max="9991" width="11.140625" style="1" customWidth="1"/>
    <col min="9992" max="9992" width="10.7109375" style="1" customWidth="1"/>
    <col min="9993" max="9993" width="9" style="1" customWidth="1"/>
    <col min="9994" max="9994" width="9.140625" style="1" customWidth="1"/>
    <col min="9995" max="9995" width="10" style="1" customWidth="1"/>
    <col min="9996" max="9996" width="1.7109375" style="1" customWidth="1"/>
    <col min="9997" max="9997" width="12.42578125" style="1" customWidth="1"/>
    <col min="9998" max="9998" width="2" style="1" customWidth="1"/>
    <col min="9999" max="9999" width="13.85546875" style="1" customWidth="1"/>
    <col min="10000" max="10000" width="3.85546875" style="1" customWidth="1"/>
    <col min="10001" max="10001" width="12.42578125" style="1" customWidth="1"/>
    <col min="10002" max="10002" width="12.5703125" style="1" customWidth="1"/>
    <col min="10003" max="10003" width="10.140625" style="1" bestFit="1" customWidth="1"/>
    <col min="10004" max="10006" width="6.85546875" style="1"/>
    <col min="10007" max="10007" width="10.140625" style="1" bestFit="1" customWidth="1"/>
    <col min="10008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5" width="11.42578125" style="1" customWidth="1"/>
    <col min="10246" max="10246" width="13.140625" style="1" customWidth="1"/>
    <col min="10247" max="10247" width="11.140625" style="1" customWidth="1"/>
    <col min="10248" max="10248" width="10.7109375" style="1" customWidth="1"/>
    <col min="10249" max="10249" width="9" style="1" customWidth="1"/>
    <col min="10250" max="10250" width="9.140625" style="1" customWidth="1"/>
    <col min="10251" max="10251" width="10" style="1" customWidth="1"/>
    <col min="10252" max="10252" width="1.7109375" style="1" customWidth="1"/>
    <col min="10253" max="10253" width="12.42578125" style="1" customWidth="1"/>
    <col min="10254" max="10254" width="2" style="1" customWidth="1"/>
    <col min="10255" max="10255" width="13.85546875" style="1" customWidth="1"/>
    <col min="10256" max="10256" width="3.85546875" style="1" customWidth="1"/>
    <col min="10257" max="10257" width="12.42578125" style="1" customWidth="1"/>
    <col min="10258" max="10258" width="12.5703125" style="1" customWidth="1"/>
    <col min="10259" max="10259" width="10.140625" style="1" bestFit="1" customWidth="1"/>
    <col min="10260" max="10262" width="6.85546875" style="1"/>
    <col min="10263" max="10263" width="10.140625" style="1" bestFit="1" customWidth="1"/>
    <col min="10264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1" width="11.42578125" style="1" customWidth="1"/>
    <col min="10502" max="10502" width="13.140625" style="1" customWidth="1"/>
    <col min="10503" max="10503" width="11.140625" style="1" customWidth="1"/>
    <col min="10504" max="10504" width="10.7109375" style="1" customWidth="1"/>
    <col min="10505" max="10505" width="9" style="1" customWidth="1"/>
    <col min="10506" max="10506" width="9.140625" style="1" customWidth="1"/>
    <col min="10507" max="10507" width="10" style="1" customWidth="1"/>
    <col min="10508" max="10508" width="1.7109375" style="1" customWidth="1"/>
    <col min="10509" max="10509" width="12.42578125" style="1" customWidth="1"/>
    <col min="10510" max="10510" width="2" style="1" customWidth="1"/>
    <col min="10511" max="10511" width="13.85546875" style="1" customWidth="1"/>
    <col min="10512" max="10512" width="3.85546875" style="1" customWidth="1"/>
    <col min="10513" max="10513" width="12.42578125" style="1" customWidth="1"/>
    <col min="10514" max="10514" width="12.5703125" style="1" customWidth="1"/>
    <col min="10515" max="10515" width="10.140625" style="1" bestFit="1" customWidth="1"/>
    <col min="10516" max="10518" width="6.85546875" style="1"/>
    <col min="10519" max="10519" width="10.140625" style="1" bestFit="1" customWidth="1"/>
    <col min="10520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7" width="11.42578125" style="1" customWidth="1"/>
    <col min="10758" max="10758" width="13.140625" style="1" customWidth="1"/>
    <col min="10759" max="10759" width="11.140625" style="1" customWidth="1"/>
    <col min="10760" max="10760" width="10.7109375" style="1" customWidth="1"/>
    <col min="10761" max="10761" width="9" style="1" customWidth="1"/>
    <col min="10762" max="10762" width="9.140625" style="1" customWidth="1"/>
    <col min="10763" max="10763" width="10" style="1" customWidth="1"/>
    <col min="10764" max="10764" width="1.7109375" style="1" customWidth="1"/>
    <col min="10765" max="10765" width="12.42578125" style="1" customWidth="1"/>
    <col min="10766" max="10766" width="2" style="1" customWidth="1"/>
    <col min="10767" max="10767" width="13.85546875" style="1" customWidth="1"/>
    <col min="10768" max="10768" width="3.85546875" style="1" customWidth="1"/>
    <col min="10769" max="10769" width="12.42578125" style="1" customWidth="1"/>
    <col min="10770" max="10770" width="12.5703125" style="1" customWidth="1"/>
    <col min="10771" max="10771" width="10.140625" style="1" bestFit="1" customWidth="1"/>
    <col min="10772" max="10774" width="6.85546875" style="1"/>
    <col min="10775" max="10775" width="10.140625" style="1" bestFit="1" customWidth="1"/>
    <col min="10776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3" width="11.42578125" style="1" customWidth="1"/>
    <col min="11014" max="11014" width="13.140625" style="1" customWidth="1"/>
    <col min="11015" max="11015" width="11.140625" style="1" customWidth="1"/>
    <col min="11016" max="11016" width="10.7109375" style="1" customWidth="1"/>
    <col min="11017" max="11017" width="9" style="1" customWidth="1"/>
    <col min="11018" max="11018" width="9.140625" style="1" customWidth="1"/>
    <col min="11019" max="11019" width="10" style="1" customWidth="1"/>
    <col min="11020" max="11020" width="1.7109375" style="1" customWidth="1"/>
    <col min="11021" max="11021" width="12.42578125" style="1" customWidth="1"/>
    <col min="11022" max="11022" width="2" style="1" customWidth="1"/>
    <col min="11023" max="11023" width="13.85546875" style="1" customWidth="1"/>
    <col min="11024" max="11024" width="3.85546875" style="1" customWidth="1"/>
    <col min="11025" max="11025" width="12.42578125" style="1" customWidth="1"/>
    <col min="11026" max="11026" width="12.5703125" style="1" customWidth="1"/>
    <col min="11027" max="11027" width="10.140625" style="1" bestFit="1" customWidth="1"/>
    <col min="11028" max="11030" width="6.85546875" style="1"/>
    <col min="11031" max="11031" width="10.140625" style="1" bestFit="1" customWidth="1"/>
    <col min="11032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69" width="11.42578125" style="1" customWidth="1"/>
    <col min="11270" max="11270" width="13.140625" style="1" customWidth="1"/>
    <col min="11271" max="11271" width="11.140625" style="1" customWidth="1"/>
    <col min="11272" max="11272" width="10.7109375" style="1" customWidth="1"/>
    <col min="11273" max="11273" width="9" style="1" customWidth="1"/>
    <col min="11274" max="11274" width="9.140625" style="1" customWidth="1"/>
    <col min="11275" max="11275" width="10" style="1" customWidth="1"/>
    <col min="11276" max="11276" width="1.7109375" style="1" customWidth="1"/>
    <col min="11277" max="11277" width="12.42578125" style="1" customWidth="1"/>
    <col min="11278" max="11278" width="2" style="1" customWidth="1"/>
    <col min="11279" max="11279" width="13.85546875" style="1" customWidth="1"/>
    <col min="11280" max="11280" width="3.85546875" style="1" customWidth="1"/>
    <col min="11281" max="11281" width="12.42578125" style="1" customWidth="1"/>
    <col min="11282" max="11282" width="12.5703125" style="1" customWidth="1"/>
    <col min="11283" max="11283" width="10.140625" style="1" bestFit="1" customWidth="1"/>
    <col min="11284" max="11286" width="6.85546875" style="1"/>
    <col min="11287" max="11287" width="10.140625" style="1" bestFit="1" customWidth="1"/>
    <col min="11288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5" width="11.42578125" style="1" customWidth="1"/>
    <col min="11526" max="11526" width="13.140625" style="1" customWidth="1"/>
    <col min="11527" max="11527" width="11.140625" style="1" customWidth="1"/>
    <col min="11528" max="11528" width="10.7109375" style="1" customWidth="1"/>
    <col min="11529" max="11529" width="9" style="1" customWidth="1"/>
    <col min="11530" max="11530" width="9.140625" style="1" customWidth="1"/>
    <col min="11531" max="11531" width="10" style="1" customWidth="1"/>
    <col min="11532" max="11532" width="1.7109375" style="1" customWidth="1"/>
    <col min="11533" max="11533" width="12.42578125" style="1" customWidth="1"/>
    <col min="11534" max="11534" width="2" style="1" customWidth="1"/>
    <col min="11535" max="11535" width="13.85546875" style="1" customWidth="1"/>
    <col min="11536" max="11536" width="3.85546875" style="1" customWidth="1"/>
    <col min="11537" max="11537" width="12.42578125" style="1" customWidth="1"/>
    <col min="11538" max="11538" width="12.5703125" style="1" customWidth="1"/>
    <col min="11539" max="11539" width="10.140625" style="1" bestFit="1" customWidth="1"/>
    <col min="11540" max="11542" width="6.85546875" style="1"/>
    <col min="11543" max="11543" width="10.140625" style="1" bestFit="1" customWidth="1"/>
    <col min="11544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1" width="11.42578125" style="1" customWidth="1"/>
    <col min="11782" max="11782" width="13.140625" style="1" customWidth="1"/>
    <col min="11783" max="11783" width="11.140625" style="1" customWidth="1"/>
    <col min="11784" max="11784" width="10.7109375" style="1" customWidth="1"/>
    <col min="11785" max="11785" width="9" style="1" customWidth="1"/>
    <col min="11786" max="11786" width="9.140625" style="1" customWidth="1"/>
    <col min="11787" max="11787" width="10" style="1" customWidth="1"/>
    <col min="11788" max="11788" width="1.7109375" style="1" customWidth="1"/>
    <col min="11789" max="11789" width="12.42578125" style="1" customWidth="1"/>
    <col min="11790" max="11790" width="2" style="1" customWidth="1"/>
    <col min="11791" max="11791" width="13.85546875" style="1" customWidth="1"/>
    <col min="11792" max="11792" width="3.85546875" style="1" customWidth="1"/>
    <col min="11793" max="11793" width="12.42578125" style="1" customWidth="1"/>
    <col min="11794" max="11794" width="12.5703125" style="1" customWidth="1"/>
    <col min="11795" max="11795" width="10.140625" style="1" bestFit="1" customWidth="1"/>
    <col min="11796" max="11798" width="6.85546875" style="1"/>
    <col min="11799" max="11799" width="10.140625" style="1" bestFit="1" customWidth="1"/>
    <col min="11800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7" width="11.42578125" style="1" customWidth="1"/>
    <col min="12038" max="12038" width="13.140625" style="1" customWidth="1"/>
    <col min="12039" max="12039" width="11.140625" style="1" customWidth="1"/>
    <col min="12040" max="12040" width="10.7109375" style="1" customWidth="1"/>
    <col min="12041" max="12041" width="9" style="1" customWidth="1"/>
    <col min="12042" max="12042" width="9.140625" style="1" customWidth="1"/>
    <col min="12043" max="12043" width="10" style="1" customWidth="1"/>
    <col min="12044" max="12044" width="1.7109375" style="1" customWidth="1"/>
    <col min="12045" max="12045" width="12.42578125" style="1" customWidth="1"/>
    <col min="12046" max="12046" width="2" style="1" customWidth="1"/>
    <col min="12047" max="12047" width="13.85546875" style="1" customWidth="1"/>
    <col min="12048" max="12048" width="3.85546875" style="1" customWidth="1"/>
    <col min="12049" max="12049" width="12.42578125" style="1" customWidth="1"/>
    <col min="12050" max="12050" width="12.5703125" style="1" customWidth="1"/>
    <col min="12051" max="12051" width="10.140625" style="1" bestFit="1" customWidth="1"/>
    <col min="12052" max="12054" width="6.85546875" style="1"/>
    <col min="12055" max="12055" width="10.140625" style="1" bestFit="1" customWidth="1"/>
    <col min="12056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3" width="11.42578125" style="1" customWidth="1"/>
    <col min="12294" max="12294" width="13.140625" style="1" customWidth="1"/>
    <col min="12295" max="12295" width="11.140625" style="1" customWidth="1"/>
    <col min="12296" max="12296" width="10.7109375" style="1" customWidth="1"/>
    <col min="12297" max="12297" width="9" style="1" customWidth="1"/>
    <col min="12298" max="12298" width="9.140625" style="1" customWidth="1"/>
    <col min="12299" max="12299" width="10" style="1" customWidth="1"/>
    <col min="12300" max="12300" width="1.7109375" style="1" customWidth="1"/>
    <col min="12301" max="12301" width="12.42578125" style="1" customWidth="1"/>
    <col min="12302" max="12302" width="2" style="1" customWidth="1"/>
    <col min="12303" max="12303" width="13.85546875" style="1" customWidth="1"/>
    <col min="12304" max="12304" width="3.85546875" style="1" customWidth="1"/>
    <col min="12305" max="12305" width="12.42578125" style="1" customWidth="1"/>
    <col min="12306" max="12306" width="12.5703125" style="1" customWidth="1"/>
    <col min="12307" max="12307" width="10.140625" style="1" bestFit="1" customWidth="1"/>
    <col min="12308" max="12310" width="6.85546875" style="1"/>
    <col min="12311" max="12311" width="10.140625" style="1" bestFit="1" customWidth="1"/>
    <col min="12312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49" width="11.42578125" style="1" customWidth="1"/>
    <col min="12550" max="12550" width="13.140625" style="1" customWidth="1"/>
    <col min="12551" max="12551" width="11.140625" style="1" customWidth="1"/>
    <col min="12552" max="12552" width="10.7109375" style="1" customWidth="1"/>
    <col min="12553" max="12553" width="9" style="1" customWidth="1"/>
    <col min="12554" max="12554" width="9.140625" style="1" customWidth="1"/>
    <col min="12555" max="12555" width="10" style="1" customWidth="1"/>
    <col min="12556" max="12556" width="1.7109375" style="1" customWidth="1"/>
    <col min="12557" max="12557" width="12.42578125" style="1" customWidth="1"/>
    <col min="12558" max="12558" width="2" style="1" customWidth="1"/>
    <col min="12559" max="12559" width="13.85546875" style="1" customWidth="1"/>
    <col min="12560" max="12560" width="3.85546875" style="1" customWidth="1"/>
    <col min="12561" max="12561" width="12.42578125" style="1" customWidth="1"/>
    <col min="12562" max="12562" width="12.5703125" style="1" customWidth="1"/>
    <col min="12563" max="12563" width="10.140625" style="1" bestFit="1" customWidth="1"/>
    <col min="12564" max="12566" width="6.85546875" style="1"/>
    <col min="12567" max="12567" width="10.140625" style="1" bestFit="1" customWidth="1"/>
    <col min="12568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5" width="11.42578125" style="1" customWidth="1"/>
    <col min="12806" max="12806" width="13.140625" style="1" customWidth="1"/>
    <col min="12807" max="12807" width="11.140625" style="1" customWidth="1"/>
    <col min="12808" max="12808" width="10.7109375" style="1" customWidth="1"/>
    <col min="12809" max="12809" width="9" style="1" customWidth="1"/>
    <col min="12810" max="12810" width="9.140625" style="1" customWidth="1"/>
    <col min="12811" max="12811" width="10" style="1" customWidth="1"/>
    <col min="12812" max="12812" width="1.7109375" style="1" customWidth="1"/>
    <col min="12813" max="12813" width="12.42578125" style="1" customWidth="1"/>
    <col min="12814" max="12814" width="2" style="1" customWidth="1"/>
    <col min="12815" max="12815" width="13.85546875" style="1" customWidth="1"/>
    <col min="12816" max="12816" width="3.85546875" style="1" customWidth="1"/>
    <col min="12817" max="12817" width="12.42578125" style="1" customWidth="1"/>
    <col min="12818" max="12818" width="12.5703125" style="1" customWidth="1"/>
    <col min="12819" max="12819" width="10.140625" style="1" bestFit="1" customWidth="1"/>
    <col min="12820" max="12822" width="6.85546875" style="1"/>
    <col min="12823" max="12823" width="10.140625" style="1" bestFit="1" customWidth="1"/>
    <col min="12824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1" width="11.42578125" style="1" customWidth="1"/>
    <col min="13062" max="13062" width="13.140625" style="1" customWidth="1"/>
    <col min="13063" max="13063" width="11.140625" style="1" customWidth="1"/>
    <col min="13064" max="13064" width="10.7109375" style="1" customWidth="1"/>
    <col min="13065" max="13065" width="9" style="1" customWidth="1"/>
    <col min="13066" max="13066" width="9.140625" style="1" customWidth="1"/>
    <col min="13067" max="13067" width="10" style="1" customWidth="1"/>
    <col min="13068" max="13068" width="1.7109375" style="1" customWidth="1"/>
    <col min="13069" max="13069" width="12.42578125" style="1" customWidth="1"/>
    <col min="13070" max="13070" width="2" style="1" customWidth="1"/>
    <col min="13071" max="13071" width="13.85546875" style="1" customWidth="1"/>
    <col min="13072" max="13072" width="3.85546875" style="1" customWidth="1"/>
    <col min="13073" max="13073" width="12.42578125" style="1" customWidth="1"/>
    <col min="13074" max="13074" width="12.5703125" style="1" customWidth="1"/>
    <col min="13075" max="13075" width="10.140625" style="1" bestFit="1" customWidth="1"/>
    <col min="13076" max="13078" width="6.85546875" style="1"/>
    <col min="13079" max="13079" width="10.140625" style="1" bestFit="1" customWidth="1"/>
    <col min="13080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7" width="11.42578125" style="1" customWidth="1"/>
    <col min="13318" max="13318" width="13.140625" style="1" customWidth="1"/>
    <col min="13319" max="13319" width="11.140625" style="1" customWidth="1"/>
    <col min="13320" max="13320" width="10.7109375" style="1" customWidth="1"/>
    <col min="13321" max="13321" width="9" style="1" customWidth="1"/>
    <col min="13322" max="13322" width="9.140625" style="1" customWidth="1"/>
    <col min="13323" max="13323" width="10" style="1" customWidth="1"/>
    <col min="13324" max="13324" width="1.7109375" style="1" customWidth="1"/>
    <col min="13325" max="13325" width="12.42578125" style="1" customWidth="1"/>
    <col min="13326" max="13326" width="2" style="1" customWidth="1"/>
    <col min="13327" max="13327" width="13.85546875" style="1" customWidth="1"/>
    <col min="13328" max="13328" width="3.85546875" style="1" customWidth="1"/>
    <col min="13329" max="13329" width="12.42578125" style="1" customWidth="1"/>
    <col min="13330" max="13330" width="12.5703125" style="1" customWidth="1"/>
    <col min="13331" max="13331" width="10.140625" style="1" bestFit="1" customWidth="1"/>
    <col min="13332" max="13334" width="6.85546875" style="1"/>
    <col min="13335" max="13335" width="10.140625" style="1" bestFit="1" customWidth="1"/>
    <col min="13336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3" width="11.42578125" style="1" customWidth="1"/>
    <col min="13574" max="13574" width="13.140625" style="1" customWidth="1"/>
    <col min="13575" max="13575" width="11.140625" style="1" customWidth="1"/>
    <col min="13576" max="13576" width="10.7109375" style="1" customWidth="1"/>
    <col min="13577" max="13577" width="9" style="1" customWidth="1"/>
    <col min="13578" max="13578" width="9.140625" style="1" customWidth="1"/>
    <col min="13579" max="13579" width="10" style="1" customWidth="1"/>
    <col min="13580" max="13580" width="1.7109375" style="1" customWidth="1"/>
    <col min="13581" max="13581" width="12.42578125" style="1" customWidth="1"/>
    <col min="13582" max="13582" width="2" style="1" customWidth="1"/>
    <col min="13583" max="13583" width="13.85546875" style="1" customWidth="1"/>
    <col min="13584" max="13584" width="3.85546875" style="1" customWidth="1"/>
    <col min="13585" max="13585" width="12.42578125" style="1" customWidth="1"/>
    <col min="13586" max="13586" width="12.5703125" style="1" customWidth="1"/>
    <col min="13587" max="13587" width="10.140625" style="1" bestFit="1" customWidth="1"/>
    <col min="13588" max="13590" width="6.85546875" style="1"/>
    <col min="13591" max="13591" width="10.140625" style="1" bestFit="1" customWidth="1"/>
    <col min="13592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29" width="11.42578125" style="1" customWidth="1"/>
    <col min="13830" max="13830" width="13.140625" style="1" customWidth="1"/>
    <col min="13831" max="13831" width="11.140625" style="1" customWidth="1"/>
    <col min="13832" max="13832" width="10.7109375" style="1" customWidth="1"/>
    <col min="13833" max="13833" width="9" style="1" customWidth="1"/>
    <col min="13834" max="13834" width="9.140625" style="1" customWidth="1"/>
    <col min="13835" max="13835" width="10" style="1" customWidth="1"/>
    <col min="13836" max="13836" width="1.7109375" style="1" customWidth="1"/>
    <col min="13837" max="13837" width="12.42578125" style="1" customWidth="1"/>
    <col min="13838" max="13838" width="2" style="1" customWidth="1"/>
    <col min="13839" max="13839" width="13.85546875" style="1" customWidth="1"/>
    <col min="13840" max="13840" width="3.85546875" style="1" customWidth="1"/>
    <col min="13841" max="13841" width="12.42578125" style="1" customWidth="1"/>
    <col min="13842" max="13842" width="12.5703125" style="1" customWidth="1"/>
    <col min="13843" max="13843" width="10.140625" style="1" bestFit="1" customWidth="1"/>
    <col min="13844" max="13846" width="6.85546875" style="1"/>
    <col min="13847" max="13847" width="10.140625" style="1" bestFit="1" customWidth="1"/>
    <col min="13848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5" width="11.42578125" style="1" customWidth="1"/>
    <col min="14086" max="14086" width="13.140625" style="1" customWidth="1"/>
    <col min="14087" max="14087" width="11.140625" style="1" customWidth="1"/>
    <col min="14088" max="14088" width="10.7109375" style="1" customWidth="1"/>
    <col min="14089" max="14089" width="9" style="1" customWidth="1"/>
    <col min="14090" max="14090" width="9.140625" style="1" customWidth="1"/>
    <col min="14091" max="14091" width="10" style="1" customWidth="1"/>
    <col min="14092" max="14092" width="1.7109375" style="1" customWidth="1"/>
    <col min="14093" max="14093" width="12.42578125" style="1" customWidth="1"/>
    <col min="14094" max="14094" width="2" style="1" customWidth="1"/>
    <col min="14095" max="14095" width="13.85546875" style="1" customWidth="1"/>
    <col min="14096" max="14096" width="3.85546875" style="1" customWidth="1"/>
    <col min="14097" max="14097" width="12.42578125" style="1" customWidth="1"/>
    <col min="14098" max="14098" width="12.5703125" style="1" customWidth="1"/>
    <col min="14099" max="14099" width="10.140625" style="1" bestFit="1" customWidth="1"/>
    <col min="14100" max="14102" width="6.85546875" style="1"/>
    <col min="14103" max="14103" width="10.140625" style="1" bestFit="1" customWidth="1"/>
    <col min="14104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1" width="11.42578125" style="1" customWidth="1"/>
    <col min="14342" max="14342" width="13.140625" style="1" customWidth="1"/>
    <col min="14343" max="14343" width="11.140625" style="1" customWidth="1"/>
    <col min="14344" max="14344" width="10.7109375" style="1" customWidth="1"/>
    <col min="14345" max="14345" width="9" style="1" customWidth="1"/>
    <col min="14346" max="14346" width="9.140625" style="1" customWidth="1"/>
    <col min="14347" max="14347" width="10" style="1" customWidth="1"/>
    <col min="14348" max="14348" width="1.7109375" style="1" customWidth="1"/>
    <col min="14349" max="14349" width="12.42578125" style="1" customWidth="1"/>
    <col min="14350" max="14350" width="2" style="1" customWidth="1"/>
    <col min="14351" max="14351" width="13.85546875" style="1" customWidth="1"/>
    <col min="14352" max="14352" width="3.85546875" style="1" customWidth="1"/>
    <col min="14353" max="14353" width="12.42578125" style="1" customWidth="1"/>
    <col min="14354" max="14354" width="12.5703125" style="1" customWidth="1"/>
    <col min="14355" max="14355" width="10.140625" style="1" bestFit="1" customWidth="1"/>
    <col min="14356" max="14358" width="6.85546875" style="1"/>
    <col min="14359" max="14359" width="10.140625" style="1" bestFit="1" customWidth="1"/>
    <col min="14360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7" width="11.42578125" style="1" customWidth="1"/>
    <col min="14598" max="14598" width="13.140625" style="1" customWidth="1"/>
    <col min="14599" max="14599" width="11.140625" style="1" customWidth="1"/>
    <col min="14600" max="14600" width="10.7109375" style="1" customWidth="1"/>
    <col min="14601" max="14601" width="9" style="1" customWidth="1"/>
    <col min="14602" max="14602" width="9.140625" style="1" customWidth="1"/>
    <col min="14603" max="14603" width="10" style="1" customWidth="1"/>
    <col min="14604" max="14604" width="1.7109375" style="1" customWidth="1"/>
    <col min="14605" max="14605" width="12.42578125" style="1" customWidth="1"/>
    <col min="14606" max="14606" width="2" style="1" customWidth="1"/>
    <col min="14607" max="14607" width="13.85546875" style="1" customWidth="1"/>
    <col min="14608" max="14608" width="3.85546875" style="1" customWidth="1"/>
    <col min="14609" max="14609" width="12.42578125" style="1" customWidth="1"/>
    <col min="14610" max="14610" width="12.5703125" style="1" customWidth="1"/>
    <col min="14611" max="14611" width="10.140625" style="1" bestFit="1" customWidth="1"/>
    <col min="14612" max="14614" width="6.85546875" style="1"/>
    <col min="14615" max="14615" width="10.140625" style="1" bestFit="1" customWidth="1"/>
    <col min="14616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3" width="11.42578125" style="1" customWidth="1"/>
    <col min="14854" max="14854" width="13.140625" style="1" customWidth="1"/>
    <col min="14855" max="14855" width="11.140625" style="1" customWidth="1"/>
    <col min="14856" max="14856" width="10.7109375" style="1" customWidth="1"/>
    <col min="14857" max="14857" width="9" style="1" customWidth="1"/>
    <col min="14858" max="14858" width="9.140625" style="1" customWidth="1"/>
    <col min="14859" max="14859" width="10" style="1" customWidth="1"/>
    <col min="14860" max="14860" width="1.7109375" style="1" customWidth="1"/>
    <col min="14861" max="14861" width="12.42578125" style="1" customWidth="1"/>
    <col min="14862" max="14862" width="2" style="1" customWidth="1"/>
    <col min="14863" max="14863" width="13.85546875" style="1" customWidth="1"/>
    <col min="14864" max="14864" width="3.85546875" style="1" customWidth="1"/>
    <col min="14865" max="14865" width="12.42578125" style="1" customWidth="1"/>
    <col min="14866" max="14866" width="12.5703125" style="1" customWidth="1"/>
    <col min="14867" max="14867" width="10.140625" style="1" bestFit="1" customWidth="1"/>
    <col min="14868" max="14870" width="6.85546875" style="1"/>
    <col min="14871" max="14871" width="10.140625" style="1" bestFit="1" customWidth="1"/>
    <col min="14872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09" width="11.42578125" style="1" customWidth="1"/>
    <col min="15110" max="15110" width="13.140625" style="1" customWidth="1"/>
    <col min="15111" max="15111" width="11.140625" style="1" customWidth="1"/>
    <col min="15112" max="15112" width="10.7109375" style="1" customWidth="1"/>
    <col min="15113" max="15113" width="9" style="1" customWidth="1"/>
    <col min="15114" max="15114" width="9.140625" style="1" customWidth="1"/>
    <col min="15115" max="15115" width="10" style="1" customWidth="1"/>
    <col min="15116" max="15116" width="1.7109375" style="1" customWidth="1"/>
    <col min="15117" max="15117" width="12.42578125" style="1" customWidth="1"/>
    <col min="15118" max="15118" width="2" style="1" customWidth="1"/>
    <col min="15119" max="15119" width="13.85546875" style="1" customWidth="1"/>
    <col min="15120" max="15120" width="3.85546875" style="1" customWidth="1"/>
    <col min="15121" max="15121" width="12.42578125" style="1" customWidth="1"/>
    <col min="15122" max="15122" width="12.5703125" style="1" customWidth="1"/>
    <col min="15123" max="15123" width="10.140625" style="1" bestFit="1" customWidth="1"/>
    <col min="15124" max="15126" width="6.85546875" style="1"/>
    <col min="15127" max="15127" width="10.140625" style="1" bestFit="1" customWidth="1"/>
    <col min="15128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5" width="11.42578125" style="1" customWidth="1"/>
    <col min="15366" max="15366" width="13.140625" style="1" customWidth="1"/>
    <col min="15367" max="15367" width="11.140625" style="1" customWidth="1"/>
    <col min="15368" max="15368" width="10.7109375" style="1" customWidth="1"/>
    <col min="15369" max="15369" width="9" style="1" customWidth="1"/>
    <col min="15370" max="15370" width="9.140625" style="1" customWidth="1"/>
    <col min="15371" max="15371" width="10" style="1" customWidth="1"/>
    <col min="15372" max="15372" width="1.7109375" style="1" customWidth="1"/>
    <col min="15373" max="15373" width="12.42578125" style="1" customWidth="1"/>
    <col min="15374" max="15374" width="2" style="1" customWidth="1"/>
    <col min="15375" max="15375" width="13.85546875" style="1" customWidth="1"/>
    <col min="15376" max="15376" width="3.85546875" style="1" customWidth="1"/>
    <col min="15377" max="15377" width="12.42578125" style="1" customWidth="1"/>
    <col min="15378" max="15378" width="12.5703125" style="1" customWidth="1"/>
    <col min="15379" max="15379" width="10.140625" style="1" bestFit="1" customWidth="1"/>
    <col min="15380" max="15382" width="6.85546875" style="1"/>
    <col min="15383" max="15383" width="10.140625" style="1" bestFit="1" customWidth="1"/>
    <col min="15384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1" width="11.42578125" style="1" customWidth="1"/>
    <col min="15622" max="15622" width="13.140625" style="1" customWidth="1"/>
    <col min="15623" max="15623" width="11.140625" style="1" customWidth="1"/>
    <col min="15624" max="15624" width="10.7109375" style="1" customWidth="1"/>
    <col min="15625" max="15625" width="9" style="1" customWidth="1"/>
    <col min="15626" max="15626" width="9.140625" style="1" customWidth="1"/>
    <col min="15627" max="15627" width="10" style="1" customWidth="1"/>
    <col min="15628" max="15628" width="1.7109375" style="1" customWidth="1"/>
    <col min="15629" max="15629" width="12.42578125" style="1" customWidth="1"/>
    <col min="15630" max="15630" width="2" style="1" customWidth="1"/>
    <col min="15631" max="15631" width="13.85546875" style="1" customWidth="1"/>
    <col min="15632" max="15632" width="3.85546875" style="1" customWidth="1"/>
    <col min="15633" max="15633" width="12.42578125" style="1" customWidth="1"/>
    <col min="15634" max="15634" width="12.5703125" style="1" customWidth="1"/>
    <col min="15635" max="15635" width="10.140625" style="1" bestFit="1" customWidth="1"/>
    <col min="15636" max="15638" width="6.85546875" style="1"/>
    <col min="15639" max="15639" width="10.140625" style="1" bestFit="1" customWidth="1"/>
    <col min="15640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7" width="11.42578125" style="1" customWidth="1"/>
    <col min="15878" max="15878" width="13.140625" style="1" customWidth="1"/>
    <col min="15879" max="15879" width="11.140625" style="1" customWidth="1"/>
    <col min="15880" max="15880" width="10.7109375" style="1" customWidth="1"/>
    <col min="15881" max="15881" width="9" style="1" customWidth="1"/>
    <col min="15882" max="15882" width="9.140625" style="1" customWidth="1"/>
    <col min="15883" max="15883" width="10" style="1" customWidth="1"/>
    <col min="15884" max="15884" width="1.7109375" style="1" customWidth="1"/>
    <col min="15885" max="15885" width="12.42578125" style="1" customWidth="1"/>
    <col min="15886" max="15886" width="2" style="1" customWidth="1"/>
    <col min="15887" max="15887" width="13.85546875" style="1" customWidth="1"/>
    <col min="15888" max="15888" width="3.85546875" style="1" customWidth="1"/>
    <col min="15889" max="15889" width="12.42578125" style="1" customWidth="1"/>
    <col min="15890" max="15890" width="12.5703125" style="1" customWidth="1"/>
    <col min="15891" max="15891" width="10.140625" style="1" bestFit="1" customWidth="1"/>
    <col min="15892" max="15894" width="6.85546875" style="1"/>
    <col min="15895" max="15895" width="10.140625" style="1" bestFit="1" customWidth="1"/>
    <col min="15896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3" width="11.42578125" style="1" customWidth="1"/>
    <col min="16134" max="16134" width="13.140625" style="1" customWidth="1"/>
    <col min="16135" max="16135" width="11.140625" style="1" customWidth="1"/>
    <col min="16136" max="16136" width="10.7109375" style="1" customWidth="1"/>
    <col min="16137" max="16137" width="9" style="1" customWidth="1"/>
    <col min="16138" max="16138" width="9.140625" style="1" customWidth="1"/>
    <col min="16139" max="16139" width="10" style="1" customWidth="1"/>
    <col min="16140" max="16140" width="1.7109375" style="1" customWidth="1"/>
    <col min="16141" max="16141" width="12.42578125" style="1" customWidth="1"/>
    <col min="16142" max="16142" width="2" style="1" customWidth="1"/>
    <col min="16143" max="16143" width="13.85546875" style="1" customWidth="1"/>
    <col min="16144" max="16144" width="3.85546875" style="1" customWidth="1"/>
    <col min="16145" max="16145" width="12.42578125" style="1" customWidth="1"/>
    <col min="16146" max="16146" width="12.5703125" style="1" customWidth="1"/>
    <col min="16147" max="16147" width="10.140625" style="1" bestFit="1" customWidth="1"/>
    <col min="16148" max="16150" width="6.85546875" style="1"/>
    <col min="16151" max="16151" width="10.140625" style="1" bestFit="1" customWidth="1"/>
    <col min="16152" max="16384" width="6.85546875" style="1"/>
  </cols>
  <sheetData>
    <row r="1" spans="1:23" ht="48" customHeight="1" x14ac:dyDescent="0.2">
      <c r="A1" s="95" t="s">
        <v>89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2">
        <f ca="1">YEAR(TODAY())-1</f>
        <v>2024</v>
      </c>
      <c r="Q1" s="1"/>
    </row>
    <row r="2" spans="1:23" ht="33" customHeight="1" x14ac:dyDescent="0.2">
      <c r="A2" s="3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8"/>
      <c r="L2" s="4"/>
      <c r="M2" s="5" t="s">
        <v>2</v>
      </c>
      <c r="Q2" s="6" t="s">
        <v>3</v>
      </c>
      <c r="R2" s="7" t="s">
        <v>4</v>
      </c>
    </row>
    <row r="3" spans="1:23" ht="81" customHeight="1" x14ac:dyDescent="0.2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3" t="s">
        <v>12</v>
      </c>
      <c r="I3" s="14" t="s">
        <v>13</v>
      </c>
      <c r="J3" s="13" t="s">
        <v>14</v>
      </c>
      <c r="K3" s="15" t="s">
        <v>15</v>
      </c>
      <c r="L3" s="16"/>
      <c r="M3" s="11" t="s">
        <v>16</v>
      </c>
      <c r="N3" s="17"/>
      <c r="O3" s="11" t="s">
        <v>17</v>
      </c>
      <c r="P3" s="18"/>
      <c r="Q3" s="19" t="s">
        <v>18</v>
      </c>
      <c r="R3" s="20" t="s">
        <v>19</v>
      </c>
      <c r="S3" s="54" t="s">
        <v>20</v>
      </c>
    </row>
    <row r="4" spans="1:23" ht="15" customHeight="1" x14ac:dyDescent="0.25">
      <c r="A4" s="22" t="s">
        <v>21</v>
      </c>
      <c r="B4" s="23">
        <v>806240</v>
      </c>
      <c r="C4" s="24"/>
      <c r="D4" s="25"/>
      <c r="E4" s="26"/>
      <c r="F4" s="25"/>
      <c r="G4" s="27">
        <v>55900</v>
      </c>
      <c r="H4" s="25">
        <v>15250</v>
      </c>
      <c r="I4" s="25"/>
      <c r="J4" s="25"/>
      <c r="K4" s="55">
        <v>98</v>
      </c>
      <c r="L4" s="25"/>
      <c r="M4" s="28">
        <v>43090</v>
      </c>
      <c r="N4" s="29"/>
      <c r="O4" s="56">
        <f t="shared" ref="O4:O35" si="0">SUM(B4:M4)</f>
        <v>920578</v>
      </c>
      <c r="P4" s="18"/>
      <c r="Q4" s="31">
        <f>(S4-M4)</f>
        <v>32570</v>
      </c>
      <c r="R4" s="32"/>
      <c r="S4" s="35">
        <v>75660</v>
      </c>
      <c r="V4" s="1">
        <v>1000</v>
      </c>
    </row>
    <row r="5" spans="1:23" ht="15" customHeight="1" x14ac:dyDescent="0.25">
      <c r="A5" s="22" t="s">
        <v>22</v>
      </c>
      <c r="B5" s="23">
        <v>560580</v>
      </c>
      <c r="C5" s="24"/>
      <c r="D5" s="25"/>
      <c r="E5" s="26">
        <v>947260</v>
      </c>
      <c r="F5" s="25"/>
      <c r="G5" s="27">
        <v>28640</v>
      </c>
      <c r="H5" s="25">
        <v>22040</v>
      </c>
      <c r="I5" s="25"/>
      <c r="J5" s="25"/>
      <c r="K5" s="55">
        <v>200</v>
      </c>
      <c r="L5" s="25"/>
      <c r="M5" s="28">
        <v>126850</v>
      </c>
      <c r="N5" s="29"/>
      <c r="O5" s="56">
        <f t="shared" si="0"/>
        <v>1685570</v>
      </c>
      <c r="P5" s="18"/>
      <c r="Q5" s="31">
        <f t="shared" ref="Q5:Q68" si="1">(S5-M5)</f>
        <v>137630</v>
      </c>
      <c r="R5" s="32"/>
      <c r="S5" s="35">
        <v>264480</v>
      </c>
    </row>
    <row r="6" spans="1:23" ht="15" customHeight="1" x14ac:dyDescent="0.25">
      <c r="A6" s="22" t="s">
        <v>23</v>
      </c>
      <c r="B6" s="23">
        <v>1187500</v>
      </c>
      <c r="C6" s="24"/>
      <c r="D6" s="25"/>
      <c r="E6" s="26"/>
      <c r="F6" s="25">
        <v>157830</v>
      </c>
      <c r="G6" s="27">
        <v>39350</v>
      </c>
      <c r="H6" s="25"/>
      <c r="I6" s="25"/>
      <c r="J6" s="25"/>
      <c r="K6" s="55">
        <v>754</v>
      </c>
      <c r="L6" s="25"/>
      <c r="M6" s="28">
        <v>121720</v>
      </c>
      <c r="N6" s="29"/>
      <c r="O6" s="56">
        <f t="shared" si="0"/>
        <v>1507154</v>
      </c>
      <c r="P6" s="18"/>
      <c r="Q6" s="31">
        <f t="shared" si="1"/>
        <v>132060</v>
      </c>
      <c r="R6" s="32"/>
      <c r="S6" s="35">
        <v>253780</v>
      </c>
    </row>
    <row r="7" spans="1:23" ht="25.5" customHeight="1" x14ac:dyDescent="0.25">
      <c r="A7" s="22" t="s">
        <v>24</v>
      </c>
      <c r="B7" s="23">
        <v>1412510</v>
      </c>
      <c r="C7" s="24"/>
      <c r="D7" s="25"/>
      <c r="E7" s="26"/>
      <c r="F7" s="25">
        <v>227210</v>
      </c>
      <c r="G7" s="27">
        <v>5820</v>
      </c>
      <c r="H7" s="25"/>
      <c r="I7" s="25"/>
      <c r="J7" s="25"/>
      <c r="K7" s="55">
        <v>256</v>
      </c>
      <c r="L7" s="25"/>
      <c r="M7" s="28">
        <v>52330</v>
      </c>
      <c r="N7" s="29"/>
      <c r="O7" s="56">
        <f t="shared" si="0"/>
        <v>1698126</v>
      </c>
      <c r="P7" s="18"/>
      <c r="Q7" s="31">
        <f t="shared" si="1"/>
        <v>58980</v>
      </c>
      <c r="R7" s="32"/>
      <c r="S7" s="35">
        <f>(90.45+20.86)*1000</f>
        <v>111310</v>
      </c>
    </row>
    <row r="8" spans="1:23" ht="15" customHeight="1" x14ac:dyDescent="0.25">
      <c r="A8" s="22" t="s">
        <v>25</v>
      </c>
      <c r="B8" s="23">
        <v>194530</v>
      </c>
      <c r="C8" s="34"/>
      <c r="D8" s="25"/>
      <c r="E8" s="26"/>
      <c r="F8" s="25"/>
      <c r="G8" s="27"/>
      <c r="H8" s="25"/>
      <c r="I8" s="25"/>
      <c r="J8" s="25"/>
      <c r="K8" s="55">
        <v>0</v>
      </c>
      <c r="L8" s="25"/>
      <c r="M8" s="28">
        <v>0</v>
      </c>
      <c r="N8" s="29"/>
      <c r="O8" s="56">
        <f t="shared" si="0"/>
        <v>194530</v>
      </c>
      <c r="P8" s="18"/>
      <c r="Q8" s="31">
        <f t="shared" si="1"/>
        <v>0</v>
      </c>
      <c r="R8" s="32"/>
      <c r="S8" s="35">
        <v>0</v>
      </c>
    </row>
    <row r="9" spans="1:23" ht="15" customHeight="1" x14ac:dyDescent="0.25">
      <c r="A9" s="22" t="s">
        <v>26</v>
      </c>
      <c r="B9" s="23">
        <v>12632340</v>
      </c>
      <c r="C9" s="24"/>
      <c r="D9" s="25"/>
      <c r="E9" s="26">
        <v>561650</v>
      </c>
      <c r="F9" s="25">
        <v>7032450</v>
      </c>
      <c r="G9" s="27">
        <v>67320</v>
      </c>
      <c r="H9" s="25">
        <v>333360</v>
      </c>
      <c r="I9" s="25">
        <v>3940</v>
      </c>
      <c r="J9" s="25">
        <v>4730</v>
      </c>
      <c r="K9" s="55">
        <v>0</v>
      </c>
      <c r="L9" s="25"/>
      <c r="M9" s="28">
        <v>523669.99999999994</v>
      </c>
      <c r="N9" s="29"/>
      <c r="O9" s="56">
        <f t="shared" si="0"/>
        <v>21159460</v>
      </c>
      <c r="P9" s="18"/>
      <c r="Q9" s="31">
        <f t="shared" si="1"/>
        <v>1218150</v>
      </c>
      <c r="R9" s="32"/>
      <c r="S9" s="35">
        <v>1741820</v>
      </c>
    </row>
    <row r="10" spans="1:23" ht="15" customHeight="1" x14ac:dyDescent="0.25">
      <c r="A10" s="22" t="s">
        <v>27</v>
      </c>
      <c r="B10" s="23">
        <v>865790</v>
      </c>
      <c r="C10" s="24"/>
      <c r="D10" s="25"/>
      <c r="E10" s="26">
        <v>448780</v>
      </c>
      <c r="F10" s="25">
        <v>271990</v>
      </c>
      <c r="G10" s="27">
        <v>25260</v>
      </c>
      <c r="H10" s="25"/>
      <c r="I10" s="25"/>
      <c r="J10" s="25"/>
      <c r="K10" s="55">
        <v>248</v>
      </c>
      <c r="L10" s="25"/>
      <c r="M10" s="28">
        <v>112160</v>
      </c>
      <c r="N10" s="29"/>
      <c r="O10" s="56">
        <f t="shared" si="0"/>
        <v>1724228</v>
      </c>
      <c r="P10" s="18"/>
      <c r="Q10" s="31">
        <f t="shared" si="1"/>
        <v>84800</v>
      </c>
      <c r="R10" s="32"/>
      <c r="S10" s="35">
        <v>196960</v>
      </c>
    </row>
    <row r="11" spans="1:23" ht="15" customHeight="1" x14ac:dyDescent="0.25">
      <c r="A11" s="22" t="s">
        <v>28</v>
      </c>
      <c r="B11" s="23">
        <v>282620</v>
      </c>
      <c r="C11" s="24"/>
      <c r="D11" s="25"/>
      <c r="E11" s="26">
        <v>931090</v>
      </c>
      <c r="F11" s="25"/>
      <c r="G11" s="27"/>
      <c r="H11" s="25"/>
      <c r="I11" s="25"/>
      <c r="J11" s="25"/>
      <c r="K11" s="55">
        <v>0</v>
      </c>
      <c r="L11" s="25"/>
      <c r="M11" s="28">
        <v>34370</v>
      </c>
      <c r="N11" s="29"/>
      <c r="O11" s="56">
        <f t="shared" si="0"/>
        <v>1248080</v>
      </c>
      <c r="P11" s="18"/>
      <c r="Q11" s="31">
        <f t="shared" si="1"/>
        <v>27460</v>
      </c>
      <c r="R11" s="32"/>
      <c r="S11" s="35">
        <f>(47.94+13.89)*1000</f>
        <v>61830</v>
      </c>
    </row>
    <row r="12" spans="1:23" ht="15" customHeight="1" x14ac:dyDescent="0.25">
      <c r="A12" s="22" t="s">
        <v>29</v>
      </c>
      <c r="B12" s="23">
        <v>551010</v>
      </c>
      <c r="C12" s="24">
        <v>899560</v>
      </c>
      <c r="D12" s="25"/>
      <c r="E12" s="26">
        <v>37400</v>
      </c>
      <c r="F12" s="25"/>
      <c r="G12" s="27">
        <v>23680</v>
      </c>
      <c r="H12" s="25">
        <v>50990</v>
      </c>
      <c r="I12" s="25"/>
      <c r="J12" s="25"/>
      <c r="K12" s="55">
        <v>247</v>
      </c>
      <c r="L12" s="25"/>
      <c r="M12" s="28">
        <v>90260</v>
      </c>
      <c r="N12" s="29"/>
      <c r="O12" s="56">
        <f t="shared" si="0"/>
        <v>1653147</v>
      </c>
      <c r="P12" s="18"/>
      <c r="Q12" s="31">
        <f t="shared" si="1"/>
        <v>89099.999999999971</v>
      </c>
      <c r="R12" s="32"/>
      <c r="S12" s="35">
        <f>(36.38+142.98)*1000</f>
        <v>179359.99999999997</v>
      </c>
    </row>
    <row r="13" spans="1:23" ht="24" customHeight="1" x14ac:dyDescent="0.25">
      <c r="A13" s="22" t="s">
        <v>30</v>
      </c>
      <c r="B13" s="23">
        <v>1788000</v>
      </c>
      <c r="C13" s="24"/>
      <c r="D13" s="25"/>
      <c r="E13" s="26"/>
      <c r="F13" s="25">
        <v>513350</v>
      </c>
      <c r="G13" s="27"/>
      <c r="H13" s="25">
        <v>16330</v>
      </c>
      <c r="I13" s="25"/>
      <c r="J13" s="25"/>
      <c r="K13" s="55">
        <v>58</v>
      </c>
      <c r="L13" s="25"/>
      <c r="M13" s="28">
        <v>175290</v>
      </c>
      <c r="N13" s="29"/>
      <c r="O13" s="56">
        <f t="shared" si="0"/>
        <v>2493028</v>
      </c>
      <c r="P13" s="18"/>
      <c r="Q13" s="31">
        <f t="shared" si="1"/>
        <v>190190</v>
      </c>
      <c r="R13" s="32"/>
      <c r="S13" s="35">
        <v>365480</v>
      </c>
    </row>
    <row r="14" spans="1:23" ht="22.5" customHeight="1" x14ac:dyDescent="0.25">
      <c r="A14" s="22" t="s">
        <v>31</v>
      </c>
      <c r="B14" s="23">
        <v>1176390</v>
      </c>
      <c r="C14" s="24">
        <v>585700</v>
      </c>
      <c r="D14" s="25"/>
      <c r="E14" s="26"/>
      <c r="F14" s="25"/>
      <c r="G14" s="27">
        <v>2140</v>
      </c>
      <c r="H14" s="25">
        <v>3110</v>
      </c>
      <c r="I14" s="25"/>
      <c r="J14" s="25"/>
      <c r="K14" s="55">
        <v>140</v>
      </c>
      <c r="L14" s="25"/>
      <c r="M14" s="28">
        <v>20690</v>
      </c>
      <c r="N14" s="29"/>
      <c r="O14" s="56">
        <f t="shared" si="0"/>
        <v>1788170</v>
      </c>
      <c r="P14" s="18"/>
      <c r="Q14" s="31">
        <f t="shared" si="1"/>
        <v>15650</v>
      </c>
      <c r="R14" s="32"/>
      <c r="S14" s="35">
        <v>36340</v>
      </c>
    </row>
    <row r="15" spans="1:23" ht="21" customHeight="1" x14ac:dyDescent="0.25">
      <c r="A15" s="22" t="s">
        <v>32</v>
      </c>
      <c r="B15" s="23">
        <v>3411920</v>
      </c>
      <c r="C15" s="24">
        <v>488950</v>
      </c>
      <c r="D15" s="25">
        <v>186070</v>
      </c>
      <c r="E15" s="26"/>
      <c r="F15" s="25">
        <v>216770</v>
      </c>
      <c r="G15" s="27">
        <v>35510</v>
      </c>
      <c r="H15" s="25">
        <v>30950</v>
      </c>
      <c r="I15" s="25"/>
      <c r="J15" s="25"/>
      <c r="K15" s="55">
        <v>154</v>
      </c>
      <c r="L15" s="25"/>
      <c r="M15" s="28">
        <v>109840</v>
      </c>
      <c r="N15" s="29"/>
      <c r="O15" s="56">
        <f t="shared" si="0"/>
        <v>4480164</v>
      </c>
      <c r="P15" s="18"/>
      <c r="Q15" s="31">
        <f t="shared" si="1"/>
        <v>110650</v>
      </c>
      <c r="R15" s="32"/>
      <c r="S15" s="35">
        <f>(10.04+200.15+10.3)*1000</f>
        <v>220490</v>
      </c>
    </row>
    <row r="16" spans="1:23" ht="30" customHeight="1" x14ac:dyDescent="0.25">
      <c r="A16" s="22" t="s">
        <v>33</v>
      </c>
      <c r="B16" s="23">
        <v>2479220</v>
      </c>
      <c r="C16" s="24"/>
      <c r="D16" s="25"/>
      <c r="E16" s="26"/>
      <c r="F16" s="25"/>
      <c r="G16" s="27"/>
      <c r="H16" s="25"/>
      <c r="I16" s="25"/>
      <c r="J16" s="25"/>
      <c r="K16" s="55">
        <v>278</v>
      </c>
      <c r="L16" s="25"/>
      <c r="M16" s="28">
        <v>184780</v>
      </c>
      <c r="N16" s="29"/>
      <c r="O16" s="56">
        <f t="shared" si="0"/>
        <v>2664278</v>
      </c>
      <c r="P16" s="18"/>
      <c r="Q16" s="31">
        <f t="shared" si="1"/>
        <v>200480</v>
      </c>
      <c r="R16" s="32"/>
      <c r="S16" s="35">
        <v>385260</v>
      </c>
      <c r="W16" s="35"/>
    </row>
    <row r="17" spans="1:19" ht="15" customHeight="1" x14ac:dyDescent="0.25">
      <c r="A17" s="22" t="s">
        <v>34</v>
      </c>
      <c r="B17" s="23">
        <v>692440</v>
      </c>
      <c r="C17" s="24"/>
      <c r="D17" s="25"/>
      <c r="E17" s="26"/>
      <c r="F17" s="25"/>
      <c r="G17" s="27">
        <v>10070</v>
      </c>
      <c r="H17" s="25"/>
      <c r="I17" s="25"/>
      <c r="J17" s="25">
        <v>122860</v>
      </c>
      <c r="K17" s="55">
        <v>193</v>
      </c>
      <c r="L17" s="25"/>
      <c r="M17" s="28">
        <v>7960</v>
      </c>
      <c r="N17" s="29"/>
      <c r="O17" s="56">
        <f t="shared" si="0"/>
        <v>833523</v>
      </c>
      <c r="P17" s="18"/>
      <c r="Q17" s="31">
        <f t="shared" si="1"/>
        <v>18520</v>
      </c>
      <c r="R17" s="32"/>
      <c r="S17" s="35">
        <v>26480</v>
      </c>
    </row>
    <row r="18" spans="1:19" ht="15" customHeight="1" x14ac:dyDescent="0.25">
      <c r="A18" s="22" t="s">
        <v>35</v>
      </c>
      <c r="B18" s="23">
        <v>1270490</v>
      </c>
      <c r="C18" s="24"/>
      <c r="D18" s="25"/>
      <c r="E18" s="26"/>
      <c r="F18" s="25"/>
      <c r="G18" s="27">
        <v>15470</v>
      </c>
      <c r="H18" s="25">
        <v>20090</v>
      </c>
      <c r="I18" s="25"/>
      <c r="J18" s="25">
        <v>3340</v>
      </c>
      <c r="K18" s="55">
        <v>0</v>
      </c>
      <c r="L18" s="25"/>
      <c r="M18" s="28">
        <v>0</v>
      </c>
      <c r="N18" s="29"/>
      <c r="O18" s="56">
        <f t="shared" si="0"/>
        <v>1309390</v>
      </c>
      <c r="P18" s="18"/>
      <c r="Q18" s="31">
        <f t="shared" si="1"/>
        <v>0</v>
      </c>
      <c r="R18" s="32"/>
      <c r="S18" s="35">
        <v>0</v>
      </c>
    </row>
    <row r="19" spans="1:19" ht="15" customHeight="1" x14ac:dyDescent="0.25">
      <c r="A19" s="22" t="s">
        <v>36</v>
      </c>
      <c r="B19" s="23">
        <v>992050</v>
      </c>
      <c r="C19" s="24"/>
      <c r="D19" s="25"/>
      <c r="E19" s="26"/>
      <c r="F19" s="25">
        <v>161670</v>
      </c>
      <c r="G19" s="27"/>
      <c r="H19" s="25"/>
      <c r="I19" s="25"/>
      <c r="J19" s="25"/>
      <c r="K19" s="55">
        <v>0</v>
      </c>
      <c r="L19" s="25"/>
      <c r="M19" s="28">
        <v>68450</v>
      </c>
      <c r="N19" s="29"/>
      <c r="O19" s="56">
        <f t="shared" si="0"/>
        <v>1222170</v>
      </c>
      <c r="P19" s="18"/>
      <c r="Q19" s="31">
        <f t="shared" si="1"/>
        <v>67500</v>
      </c>
      <c r="R19" s="32"/>
      <c r="S19" s="35">
        <f>(26.4+109.55)*1000</f>
        <v>135950</v>
      </c>
    </row>
    <row r="20" spans="1:19" ht="15" customHeight="1" x14ac:dyDescent="0.25">
      <c r="A20" s="22" t="s">
        <v>37</v>
      </c>
      <c r="B20" s="23">
        <v>2795330</v>
      </c>
      <c r="C20" s="24"/>
      <c r="D20" s="25"/>
      <c r="E20" s="26"/>
      <c r="F20" s="25"/>
      <c r="G20" s="27">
        <v>44270</v>
      </c>
      <c r="H20" s="25">
        <v>3500</v>
      </c>
      <c r="I20" s="25"/>
      <c r="J20" s="25"/>
      <c r="K20" s="55">
        <v>170</v>
      </c>
      <c r="L20" s="25"/>
      <c r="M20" s="28">
        <v>259370</v>
      </c>
      <c r="N20" s="29"/>
      <c r="O20" s="56">
        <f t="shared" si="0"/>
        <v>3102640</v>
      </c>
      <c r="P20" s="18"/>
      <c r="Q20" s="31">
        <f t="shared" si="1"/>
        <v>281410</v>
      </c>
      <c r="R20" s="32"/>
      <c r="S20" s="35">
        <v>540780</v>
      </c>
    </row>
    <row r="21" spans="1:19" ht="15" customHeight="1" x14ac:dyDescent="0.25">
      <c r="A21" s="22" t="s">
        <v>38</v>
      </c>
      <c r="B21" s="23">
        <v>454910</v>
      </c>
      <c r="C21" s="24"/>
      <c r="D21" s="25"/>
      <c r="E21" s="26">
        <v>337630</v>
      </c>
      <c r="F21" s="25"/>
      <c r="G21" s="27">
        <v>10760</v>
      </c>
      <c r="H21" s="25">
        <v>5750</v>
      </c>
      <c r="I21" s="25"/>
      <c r="J21" s="25"/>
      <c r="K21" s="55">
        <v>0</v>
      </c>
      <c r="L21" s="25"/>
      <c r="M21" s="28">
        <v>28230</v>
      </c>
      <c r="N21" s="29"/>
      <c r="O21" s="56">
        <f t="shared" si="0"/>
        <v>837280</v>
      </c>
      <c r="P21" s="18"/>
      <c r="Q21" s="31">
        <f t="shared" si="1"/>
        <v>30630</v>
      </c>
      <c r="R21" s="32"/>
      <c r="S21" s="35">
        <v>58860</v>
      </c>
    </row>
    <row r="22" spans="1:19" ht="20.25" customHeight="1" x14ac:dyDescent="0.25">
      <c r="A22" s="22" t="s">
        <v>39</v>
      </c>
      <c r="B22" s="23">
        <v>1299520</v>
      </c>
      <c r="C22" s="24">
        <v>1107740</v>
      </c>
      <c r="D22" s="25"/>
      <c r="E22" s="26"/>
      <c r="F22" s="25"/>
      <c r="G22" s="27">
        <v>467710</v>
      </c>
      <c r="H22" s="25"/>
      <c r="I22" s="25"/>
      <c r="J22" s="25"/>
      <c r="K22" s="55">
        <v>0</v>
      </c>
      <c r="L22" s="25"/>
      <c r="M22" s="28">
        <v>0</v>
      </c>
      <c r="N22" s="29"/>
      <c r="O22" s="56">
        <f t="shared" si="0"/>
        <v>2874970</v>
      </c>
      <c r="P22" s="18"/>
      <c r="Q22" s="31">
        <f t="shared" si="1"/>
        <v>0</v>
      </c>
      <c r="R22" s="32"/>
      <c r="S22" s="35">
        <v>0</v>
      </c>
    </row>
    <row r="23" spans="1:19" ht="15" customHeight="1" x14ac:dyDescent="0.25">
      <c r="A23" s="22" t="s">
        <v>40</v>
      </c>
      <c r="B23" s="23">
        <v>1025060</v>
      </c>
      <c r="C23" s="24"/>
      <c r="D23" s="25"/>
      <c r="E23" s="26"/>
      <c r="F23" s="25"/>
      <c r="G23" s="27"/>
      <c r="H23" s="25"/>
      <c r="I23" s="25"/>
      <c r="J23" s="25"/>
      <c r="K23" s="55">
        <v>264</v>
      </c>
      <c r="L23" s="25"/>
      <c r="M23" s="28">
        <v>91440</v>
      </c>
      <c r="N23" s="29"/>
      <c r="O23" s="56">
        <f t="shared" si="0"/>
        <v>1116764</v>
      </c>
      <c r="P23" s="18"/>
      <c r="Q23" s="31">
        <f t="shared" si="1"/>
        <v>69120</v>
      </c>
      <c r="R23" s="32"/>
      <c r="S23" s="35">
        <v>160560</v>
      </c>
    </row>
    <row r="24" spans="1:19" ht="25.5" customHeight="1" x14ac:dyDescent="0.25">
      <c r="A24" s="22" t="s">
        <v>41</v>
      </c>
      <c r="B24" s="23">
        <v>1171160</v>
      </c>
      <c r="C24" s="24"/>
      <c r="D24" s="25">
        <v>88010</v>
      </c>
      <c r="E24" s="26">
        <v>78360</v>
      </c>
      <c r="F24" s="25"/>
      <c r="G24" s="27">
        <v>28480</v>
      </c>
      <c r="H24" s="25">
        <v>14810</v>
      </c>
      <c r="I24" s="25"/>
      <c r="J24" s="25"/>
      <c r="K24" s="55">
        <v>227</v>
      </c>
      <c r="L24" s="25"/>
      <c r="M24" s="28">
        <v>89740</v>
      </c>
      <c r="N24" s="29"/>
      <c r="O24" s="56">
        <f t="shared" si="0"/>
        <v>1470787</v>
      </c>
      <c r="P24" s="18"/>
      <c r="Q24" s="31">
        <f t="shared" si="1"/>
        <v>97360</v>
      </c>
      <c r="R24" s="32"/>
      <c r="S24" s="35">
        <v>187100</v>
      </c>
    </row>
    <row r="25" spans="1:19" ht="15" customHeight="1" x14ac:dyDescent="0.25">
      <c r="A25" s="36" t="s">
        <v>42</v>
      </c>
      <c r="B25" s="23">
        <v>1352860</v>
      </c>
      <c r="C25" s="24"/>
      <c r="D25" s="25"/>
      <c r="E25" s="26"/>
      <c r="F25" s="25"/>
      <c r="G25" s="27"/>
      <c r="H25" s="25"/>
      <c r="I25" s="25"/>
      <c r="J25" s="25"/>
      <c r="K25" s="55">
        <v>98</v>
      </c>
      <c r="L25" s="25"/>
      <c r="M25" s="28">
        <v>95140</v>
      </c>
      <c r="N25" s="29"/>
      <c r="O25" s="56">
        <f t="shared" si="0"/>
        <v>1448098</v>
      </c>
      <c r="P25" s="18"/>
      <c r="Q25" s="31">
        <f t="shared" si="1"/>
        <v>103220</v>
      </c>
      <c r="R25" s="32"/>
      <c r="S25" s="35">
        <v>198360</v>
      </c>
    </row>
    <row r="26" spans="1:19" ht="15" customHeight="1" x14ac:dyDescent="0.25">
      <c r="A26" s="22" t="s">
        <v>43</v>
      </c>
      <c r="B26" s="23">
        <v>1736370</v>
      </c>
      <c r="C26" s="24"/>
      <c r="D26" s="25"/>
      <c r="E26" s="26"/>
      <c r="F26" s="25"/>
      <c r="G26" s="27"/>
      <c r="H26" s="25"/>
      <c r="I26" s="25"/>
      <c r="J26" s="25"/>
      <c r="K26" s="55">
        <v>161</v>
      </c>
      <c r="L26" s="25"/>
      <c r="M26" s="28">
        <v>72790</v>
      </c>
      <c r="N26" s="29"/>
      <c r="O26" s="56">
        <f t="shared" si="0"/>
        <v>1809321</v>
      </c>
      <c r="P26" s="18"/>
      <c r="Q26" s="31">
        <f t="shared" si="1"/>
        <v>71780</v>
      </c>
      <c r="R26" s="32"/>
      <c r="S26" s="35">
        <f>(28.04+116.53)*1000</f>
        <v>144570</v>
      </c>
    </row>
    <row r="27" spans="1:19" ht="15" customHeight="1" x14ac:dyDescent="0.25">
      <c r="A27" s="22" t="s">
        <v>44</v>
      </c>
      <c r="B27" s="23">
        <v>1196510</v>
      </c>
      <c r="C27" s="24"/>
      <c r="D27" s="25"/>
      <c r="E27" s="26"/>
      <c r="F27" s="25"/>
      <c r="G27" s="27"/>
      <c r="H27" s="25"/>
      <c r="I27" s="25"/>
      <c r="J27" s="25">
        <v>147580</v>
      </c>
      <c r="K27" s="55">
        <v>207</v>
      </c>
      <c r="L27" s="25"/>
      <c r="M27" s="28">
        <v>200</v>
      </c>
      <c r="N27" s="29"/>
      <c r="O27" s="56">
        <f t="shared" si="0"/>
        <v>1344497</v>
      </c>
      <c r="P27" s="18"/>
      <c r="Q27" s="31">
        <f t="shared" si="1"/>
        <v>190</v>
      </c>
      <c r="R27" s="32"/>
      <c r="S27" s="35">
        <v>390</v>
      </c>
    </row>
    <row r="28" spans="1:19" ht="15" customHeight="1" x14ac:dyDescent="0.25">
      <c r="A28" s="22" t="s">
        <v>45</v>
      </c>
      <c r="B28" s="23">
        <v>1584940</v>
      </c>
      <c r="C28" s="24"/>
      <c r="D28" s="25"/>
      <c r="E28" s="26"/>
      <c r="F28" s="25">
        <v>466370</v>
      </c>
      <c r="G28" s="27">
        <v>10290</v>
      </c>
      <c r="H28" s="25">
        <v>19990</v>
      </c>
      <c r="I28" s="25"/>
      <c r="J28" s="25"/>
      <c r="K28" s="55">
        <v>195</v>
      </c>
      <c r="L28" s="25"/>
      <c r="M28" s="28">
        <v>88460</v>
      </c>
      <c r="N28" s="29"/>
      <c r="O28" s="56">
        <f t="shared" si="0"/>
        <v>2170245</v>
      </c>
      <c r="P28" s="18"/>
      <c r="Q28" s="31">
        <f t="shared" si="1"/>
        <v>85240</v>
      </c>
      <c r="R28" s="32"/>
      <c r="S28" s="35">
        <v>173700</v>
      </c>
    </row>
    <row r="29" spans="1:19" ht="15" customHeight="1" x14ac:dyDescent="0.25">
      <c r="A29" s="22" t="s">
        <v>46</v>
      </c>
      <c r="B29" s="23">
        <v>596560</v>
      </c>
      <c r="C29" s="24"/>
      <c r="D29" s="25"/>
      <c r="E29" s="26"/>
      <c r="F29" s="25"/>
      <c r="G29" s="27"/>
      <c r="H29" s="25"/>
      <c r="I29" s="25"/>
      <c r="J29" s="25"/>
      <c r="K29" s="55">
        <v>129</v>
      </c>
      <c r="L29" s="25"/>
      <c r="M29" s="28">
        <v>37280</v>
      </c>
      <c r="N29" s="29"/>
      <c r="O29" s="56">
        <f t="shared" si="0"/>
        <v>633969</v>
      </c>
      <c r="P29" s="18"/>
      <c r="Q29" s="31">
        <f t="shared" si="1"/>
        <v>36710</v>
      </c>
      <c r="R29" s="32"/>
      <c r="S29" s="35">
        <f>(60.61+13.38)*1000</f>
        <v>73990</v>
      </c>
    </row>
    <row r="30" spans="1:19" ht="15" customHeight="1" x14ac:dyDescent="0.25">
      <c r="A30" s="22" t="s">
        <v>47</v>
      </c>
      <c r="B30" s="23">
        <v>1038000</v>
      </c>
      <c r="C30" s="24"/>
      <c r="D30" s="25"/>
      <c r="E30" s="26">
        <v>1072980</v>
      </c>
      <c r="F30" s="25">
        <v>315170</v>
      </c>
      <c r="G30" s="27">
        <v>31360</v>
      </c>
      <c r="H30" s="25">
        <v>22060</v>
      </c>
      <c r="I30" s="25"/>
      <c r="J30" s="25">
        <v>43310</v>
      </c>
      <c r="K30" s="55">
        <v>121</v>
      </c>
      <c r="L30" s="25"/>
      <c r="M30" s="28">
        <v>141690</v>
      </c>
      <c r="N30" s="29"/>
      <c r="O30" s="56">
        <f t="shared" si="0"/>
        <v>2664691</v>
      </c>
      <c r="P30" s="18"/>
      <c r="Q30" s="31">
        <f t="shared" si="1"/>
        <v>146940</v>
      </c>
      <c r="R30" s="32"/>
      <c r="S30" s="35">
        <f>(109.97+178.66)*1000</f>
        <v>288630</v>
      </c>
    </row>
    <row r="31" spans="1:19" ht="25.5" customHeight="1" x14ac:dyDescent="0.25">
      <c r="A31" s="22" t="s">
        <v>48</v>
      </c>
      <c r="B31" s="23">
        <v>851850</v>
      </c>
      <c r="C31" s="24"/>
      <c r="D31" s="25"/>
      <c r="E31" s="26">
        <v>1281170</v>
      </c>
      <c r="F31" s="25"/>
      <c r="G31" s="27">
        <v>67240</v>
      </c>
      <c r="H31" s="25">
        <v>35790</v>
      </c>
      <c r="I31" s="25"/>
      <c r="J31" s="25"/>
      <c r="K31" s="55">
        <v>153</v>
      </c>
      <c r="L31" s="25"/>
      <c r="M31" s="28">
        <v>117400</v>
      </c>
      <c r="N31" s="29"/>
      <c r="O31" s="56">
        <f t="shared" si="0"/>
        <v>2353603</v>
      </c>
      <c r="P31" s="18"/>
      <c r="Q31" s="31">
        <f t="shared" si="1"/>
        <v>124099.99999999997</v>
      </c>
      <c r="R31" s="32"/>
      <c r="S31" s="35">
        <f>(59.98+137.42+44.1)*1000</f>
        <v>241499.99999999997</v>
      </c>
    </row>
    <row r="32" spans="1:19" ht="15" customHeight="1" x14ac:dyDescent="0.25">
      <c r="A32" s="22" t="s">
        <v>49</v>
      </c>
      <c r="B32" s="23">
        <v>3510010</v>
      </c>
      <c r="C32" s="24"/>
      <c r="D32" s="25"/>
      <c r="E32" s="26"/>
      <c r="F32" s="25"/>
      <c r="G32" s="27">
        <v>9980</v>
      </c>
      <c r="H32" s="25">
        <v>16960</v>
      </c>
      <c r="I32" s="25"/>
      <c r="J32" s="25"/>
      <c r="K32" s="55">
        <v>152</v>
      </c>
      <c r="L32" s="25"/>
      <c r="M32" s="28">
        <v>68590</v>
      </c>
      <c r="N32" s="29"/>
      <c r="O32" s="56">
        <f t="shared" si="0"/>
        <v>3605692</v>
      </c>
      <c r="P32" s="18"/>
      <c r="Q32" s="31">
        <f t="shared" si="1"/>
        <v>74410</v>
      </c>
      <c r="R32" s="32"/>
      <c r="S32" s="35">
        <v>143000</v>
      </c>
    </row>
    <row r="33" spans="1:19" ht="15" customHeight="1" x14ac:dyDescent="0.25">
      <c r="A33" s="22" t="s">
        <v>50</v>
      </c>
      <c r="B33" s="23">
        <v>482700</v>
      </c>
      <c r="C33" s="24"/>
      <c r="D33" s="25"/>
      <c r="E33" s="26">
        <v>865710</v>
      </c>
      <c r="F33" s="25"/>
      <c r="G33" s="27">
        <v>4190</v>
      </c>
      <c r="H33" s="25"/>
      <c r="I33" s="25"/>
      <c r="J33" s="25"/>
      <c r="K33" s="55">
        <v>0</v>
      </c>
      <c r="L33" s="25"/>
      <c r="M33" s="28">
        <v>46010</v>
      </c>
      <c r="N33" s="29"/>
      <c r="O33" s="56">
        <f t="shared" si="0"/>
        <v>1398610</v>
      </c>
      <c r="P33" s="18"/>
      <c r="Q33" s="31">
        <f t="shared" si="1"/>
        <v>34790</v>
      </c>
      <c r="R33" s="32"/>
      <c r="S33" s="35">
        <v>80800</v>
      </c>
    </row>
    <row r="34" spans="1:19" ht="15" customHeight="1" x14ac:dyDescent="0.25">
      <c r="A34" s="22" t="s">
        <v>51</v>
      </c>
      <c r="B34" s="23">
        <v>1697910</v>
      </c>
      <c r="C34" s="24"/>
      <c r="D34" s="25"/>
      <c r="E34" s="26"/>
      <c r="F34" s="25"/>
      <c r="G34" s="27"/>
      <c r="H34" s="25">
        <v>18420</v>
      </c>
      <c r="I34" s="25"/>
      <c r="J34" s="25"/>
      <c r="K34" s="55">
        <v>0</v>
      </c>
      <c r="L34" s="25"/>
      <c r="M34" s="28">
        <v>107700</v>
      </c>
      <c r="N34" s="34"/>
      <c r="O34" s="56">
        <f t="shared" si="0"/>
        <v>1824030</v>
      </c>
      <c r="P34" s="18"/>
      <c r="Q34" s="31">
        <f t="shared" si="1"/>
        <v>116860</v>
      </c>
      <c r="R34" s="32"/>
      <c r="S34" s="35">
        <v>224560</v>
      </c>
    </row>
    <row r="35" spans="1:19" ht="15" customHeight="1" x14ac:dyDescent="0.25">
      <c r="A35" s="22" t="s">
        <v>52</v>
      </c>
      <c r="B35" s="23">
        <v>392100</v>
      </c>
      <c r="C35" s="24"/>
      <c r="D35" s="25"/>
      <c r="E35" s="26"/>
      <c r="F35" s="25"/>
      <c r="G35" s="27"/>
      <c r="H35" s="25"/>
      <c r="I35" s="25"/>
      <c r="J35" s="25"/>
      <c r="K35" s="55">
        <v>0</v>
      </c>
      <c r="L35" s="25"/>
      <c r="M35" s="28">
        <v>19880</v>
      </c>
      <c r="N35" s="34"/>
      <c r="O35" s="56">
        <f t="shared" si="0"/>
        <v>411980</v>
      </c>
      <c r="P35" s="18"/>
      <c r="Q35" s="31">
        <f t="shared" si="1"/>
        <v>19160</v>
      </c>
      <c r="R35" s="32"/>
      <c r="S35" s="35">
        <v>39040</v>
      </c>
    </row>
    <row r="36" spans="1:19" ht="15" customHeight="1" x14ac:dyDescent="0.25">
      <c r="A36" s="22" t="s">
        <v>53</v>
      </c>
      <c r="B36" s="23">
        <v>1383310</v>
      </c>
      <c r="C36" s="24"/>
      <c r="D36" s="25"/>
      <c r="E36" s="26"/>
      <c r="F36" s="25"/>
      <c r="G36" s="27"/>
      <c r="H36" s="25"/>
      <c r="I36" s="25"/>
      <c r="J36" s="25"/>
      <c r="K36" s="55">
        <v>0</v>
      </c>
      <c r="L36" s="25"/>
      <c r="M36" s="28">
        <v>77520</v>
      </c>
      <c r="N36" s="34"/>
      <c r="O36" s="56">
        <f>SUM(B36:M36)</f>
        <v>1460830</v>
      </c>
      <c r="P36" s="18"/>
      <c r="Q36" s="31">
        <f t="shared" si="1"/>
        <v>84100</v>
      </c>
      <c r="R36" s="32"/>
      <c r="S36" s="35">
        <v>161620</v>
      </c>
    </row>
    <row r="37" spans="1:19" ht="25.5" customHeight="1" x14ac:dyDescent="0.25">
      <c r="A37" s="22" t="s">
        <v>54</v>
      </c>
      <c r="B37" s="23">
        <v>726990</v>
      </c>
      <c r="C37" s="24"/>
      <c r="D37" s="25"/>
      <c r="E37" s="26"/>
      <c r="F37" s="25"/>
      <c r="G37" s="27"/>
      <c r="H37" s="25"/>
      <c r="I37" s="25"/>
      <c r="J37" s="25"/>
      <c r="K37" s="55">
        <v>0</v>
      </c>
      <c r="L37" s="25"/>
      <c r="M37" s="28">
        <v>34940</v>
      </c>
      <c r="N37" s="34"/>
      <c r="O37" s="56">
        <f t="shared" ref="O37:O69" si="2">SUM(B37:M37)</f>
        <v>761930</v>
      </c>
      <c r="P37" s="18"/>
      <c r="Q37" s="31">
        <f t="shared" si="1"/>
        <v>33680</v>
      </c>
      <c r="R37" s="32"/>
      <c r="S37" s="35">
        <v>68620</v>
      </c>
    </row>
    <row r="38" spans="1:19" ht="12.75" customHeight="1" x14ac:dyDescent="0.25">
      <c r="A38" s="22" t="s">
        <v>55</v>
      </c>
      <c r="B38" s="23">
        <v>1035230</v>
      </c>
      <c r="C38" s="24"/>
      <c r="D38" s="25"/>
      <c r="E38" s="26"/>
      <c r="F38" s="25"/>
      <c r="G38" s="27">
        <v>9460</v>
      </c>
      <c r="H38" s="25"/>
      <c r="I38" s="25"/>
      <c r="J38" s="25"/>
      <c r="K38" s="55">
        <v>48</v>
      </c>
      <c r="L38" s="25"/>
      <c r="M38" s="28">
        <v>18970</v>
      </c>
      <c r="N38" s="34"/>
      <c r="O38" s="56">
        <f t="shared" si="2"/>
        <v>1063708</v>
      </c>
      <c r="P38" s="18"/>
      <c r="Q38" s="31">
        <f t="shared" si="1"/>
        <v>14350</v>
      </c>
      <c r="R38" s="32"/>
      <c r="S38" s="35">
        <v>33320</v>
      </c>
    </row>
    <row r="39" spans="1:19" ht="16.5" customHeight="1" x14ac:dyDescent="0.25">
      <c r="A39" s="22" t="s">
        <v>56</v>
      </c>
      <c r="B39" s="23">
        <v>2292760</v>
      </c>
      <c r="C39" s="24"/>
      <c r="D39" s="25">
        <v>131350</v>
      </c>
      <c r="E39" s="26"/>
      <c r="F39" s="25"/>
      <c r="G39" s="27"/>
      <c r="H39" s="25">
        <v>7950</v>
      </c>
      <c r="I39" s="25"/>
      <c r="J39" s="25"/>
      <c r="K39" s="55">
        <v>0</v>
      </c>
      <c r="L39" s="25"/>
      <c r="M39" s="28">
        <v>51170</v>
      </c>
      <c r="N39" s="34"/>
      <c r="O39" s="56">
        <f t="shared" si="2"/>
        <v>2483230</v>
      </c>
      <c r="P39" s="18"/>
      <c r="Q39" s="31">
        <f t="shared" si="1"/>
        <v>55510</v>
      </c>
      <c r="R39" s="32"/>
      <c r="S39" s="35">
        <v>106680</v>
      </c>
    </row>
    <row r="40" spans="1:19" ht="30" customHeight="1" x14ac:dyDescent="0.25">
      <c r="A40" s="22" t="s">
        <v>57</v>
      </c>
      <c r="B40" s="23">
        <v>1455280</v>
      </c>
      <c r="C40" s="24">
        <v>519620</v>
      </c>
      <c r="D40" s="25"/>
      <c r="E40" s="26"/>
      <c r="F40" s="25"/>
      <c r="G40" s="27"/>
      <c r="H40" s="25">
        <v>13740</v>
      </c>
      <c r="I40" s="25"/>
      <c r="J40" s="25"/>
      <c r="K40" s="55">
        <v>0</v>
      </c>
      <c r="L40" s="25"/>
      <c r="M40" s="28">
        <v>77790</v>
      </c>
      <c r="N40" s="34"/>
      <c r="O40" s="56">
        <f t="shared" si="2"/>
        <v>2066430</v>
      </c>
      <c r="P40" s="18"/>
      <c r="Q40" s="31">
        <f t="shared" si="1"/>
        <v>84390</v>
      </c>
      <c r="R40" s="32"/>
      <c r="S40" s="35">
        <v>162180</v>
      </c>
    </row>
    <row r="41" spans="1:19" ht="15" customHeight="1" x14ac:dyDescent="0.25">
      <c r="A41" s="22" t="s">
        <v>58</v>
      </c>
      <c r="B41" s="23">
        <v>1524060</v>
      </c>
      <c r="C41" s="24">
        <v>205030</v>
      </c>
      <c r="D41" s="25"/>
      <c r="E41" s="26"/>
      <c r="F41" s="25"/>
      <c r="G41" s="27"/>
      <c r="H41" s="25">
        <v>19690</v>
      </c>
      <c r="I41" s="25"/>
      <c r="J41" s="25"/>
      <c r="K41" s="55">
        <v>0</v>
      </c>
      <c r="L41" s="25"/>
      <c r="M41" s="28">
        <v>74490</v>
      </c>
      <c r="N41" s="25"/>
      <c r="O41" s="56">
        <f t="shared" si="2"/>
        <v>1823270</v>
      </c>
      <c r="P41" s="18"/>
      <c r="Q41" s="31">
        <f t="shared" si="1"/>
        <v>56310.000000000015</v>
      </c>
      <c r="R41" s="32"/>
      <c r="S41" s="35">
        <v>130800.00000000001</v>
      </c>
    </row>
    <row r="42" spans="1:19" ht="15" customHeight="1" x14ac:dyDescent="0.25">
      <c r="A42" s="22" t="s">
        <v>59</v>
      </c>
      <c r="B42" s="23">
        <v>950610</v>
      </c>
      <c r="C42" s="24"/>
      <c r="D42" s="25"/>
      <c r="E42" s="26"/>
      <c r="F42" s="25"/>
      <c r="G42" s="25">
        <v>2300</v>
      </c>
      <c r="H42" s="25">
        <v>2710</v>
      </c>
      <c r="I42" s="25"/>
      <c r="J42" s="25"/>
      <c r="K42" s="55">
        <v>110</v>
      </c>
      <c r="L42" s="25"/>
      <c r="M42" s="28">
        <v>89290</v>
      </c>
      <c r="N42" s="34"/>
      <c r="O42" s="56">
        <f t="shared" si="2"/>
        <v>1045020</v>
      </c>
      <c r="P42" s="18"/>
      <c r="Q42" s="31">
        <f t="shared" si="1"/>
        <v>67510</v>
      </c>
      <c r="R42" s="32"/>
      <c r="S42" s="35">
        <v>156800</v>
      </c>
    </row>
    <row r="43" spans="1:19" ht="15" customHeight="1" x14ac:dyDescent="0.25">
      <c r="A43" s="22" t="s">
        <v>60</v>
      </c>
      <c r="B43" s="23">
        <v>705490</v>
      </c>
      <c r="C43" s="24"/>
      <c r="D43" s="25"/>
      <c r="E43" s="26">
        <v>275100</v>
      </c>
      <c r="F43" s="25">
        <v>151120</v>
      </c>
      <c r="G43" s="27">
        <v>34760</v>
      </c>
      <c r="H43" s="25">
        <v>81930</v>
      </c>
      <c r="I43" s="25"/>
      <c r="J43" s="25"/>
      <c r="K43" s="55">
        <v>109</v>
      </c>
      <c r="L43" s="25"/>
      <c r="M43" s="28">
        <v>90070</v>
      </c>
      <c r="N43" s="34"/>
      <c r="O43" s="56">
        <f t="shared" si="2"/>
        <v>1338579</v>
      </c>
      <c r="P43" s="18"/>
      <c r="Q43" s="31">
        <f t="shared" si="1"/>
        <v>68090</v>
      </c>
      <c r="R43" s="32"/>
      <c r="S43" s="35">
        <v>158160</v>
      </c>
    </row>
    <row r="44" spans="1:19" ht="15" customHeight="1" x14ac:dyDescent="0.25">
      <c r="A44" s="22" t="s">
        <v>61</v>
      </c>
      <c r="B44" s="23">
        <v>1350060</v>
      </c>
      <c r="C44" s="24"/>
      <c r="D44" s="25"/>
      <c r="E44" s="26"/>
      <c r="F44" s="25">
        <v>266840</v>
      </c>
      <c r="G44" s="27">
        <v>11220</v>
      </c>
      <c r="H44" s="25">
        <v>18190</v>
      </c>
      <c r="I44" s="25">
        <v>1950</v>
      </c>
      <c r="J44" s="25"/>
      <c r="K44" s="55">
        <v>0</v>
      </c>
      <c r="L44" s="25"/>
      <c r="M44" s="28">
        <v>110880</v>
      </c>
      <c r="N44" s="34"/>
      <c r="O44" s="56">
        <f t="shared" si="2"/>
        <v>1759140</v>
      </c>
      <c r="P44" s="18"/>
      <c r="Q44" s="31">
        <f t="shared" si="1"/>
        <v>109290.00000000003</v>
      </c>
      <c r="R44" s="32"/>
      <c r="S44" s="35">
        <f>(178.11+42.06)*1000</f>
        <v>220170.00000000003</v>
      </c>
    </row>
    <row r="45" spans="1:19" ht="15" customHeight="1" x14ac:dyDescent="0.25">
      <c r="A45" s="22" t="s">
        <v>62</v>
      </c>
      <c r="B45" s="23">
        <v>1518960</v>
      </c>
      <c r="C45" s="24"/>
      <c r="D45" s="25"/>
      <c r="E45" s="26">
        <v>211560</v>
      </c>
      <c r="F45" s="25"/>
      <c r="G45" s="27"/>
      <c r="H45" s="25">
        <v>15740</v>
      </c>
      <c r="I45" s="25"/>
      <c r="J45" s="25"/>
      <c r="K45" s="55">
        <v>187</v>
      </c>
      <c r="L45" s="25"/>
      <c r="M45" s="28">
        <v>42490</v>
      </c>
      <c r="N45" s="34"/>
      <c r="O45" s="56">
        <f t="shared" si="2"/>
        <v>1788937</v>
      </c>
      <c r="P45" s="18"/>
      <c r="Q45" s="31">
        <f t="shared" si="1"/>
        <v>46090</v>
      </c>
      <c r="R45" s="32"/>
      <c r="S45" s="35">
        <v>88580</v>
      </c>
    </row>
    <row r="46" spans="1:19" ht="15.75" customHeight="1" x14ac:dyDescent="0.25">
      <c r="A46" s="22" t="s">
        <v>63</v>
      </c>
      <c r="B46" s="23">
        <v>893470</v>
      </c>
      <c r="C46" s="24"/>
      <c r="D46" s="25"/>
      <c r="E46" s="26">
        <v>1715550</v>
      </c>
      <c r="F46" s="25"/>
      <c r="G46" s="27">
        <v>1200</v>
      </c>
      <c r="H46" s="25">
        <v>61260</v>
      </c>
      <c r="I46" s="25"/>
      <c r="J46" s="25"/>
      <c r="K46" s="55">
        <v>300</v>
      </c>
      <c r="L46" s="25"/>
      <c r="M46" s="28">
        <v>131670</v>
      </c>
      <c r="N46" s="34"/>
      <c r="O46" s="56">
        <f t="shared" si="2"/>
        <v>2803450</v>
      </c>
      <c r="P46" s="18"/>
      <c r="Q46" s="31">
        <f t="shared" si="1"/>
        <v>99550</v>
      </c>
      <c r="R46" s="32"/>
      <c r="S46" s="35">
        <v>231220</v>
      </c>
    </row>
    <row r="47" spans="1:19" ht="15" customHeight="1" x14ac:dyDescent="0.25">
      <c r="A47" s="22" t="s">
        <v>64</v>
      </c>
      <c r="B47" s="23">
        <v>1151020</v>
      </c>
      <c r="C47" s="24"/>
      <c r="D47" s="25"/>
      <c r="E47" s="26">
        <v>542270</v>
      </c>
      <c r="F47" s="25"/>
      <c r="G47" s="27">
        <v>25850</v>
      </c>
      <c r="H47" s="25">
        <v>129310</v>
      </c>
      <c r="I47" s="25"/>
      <c r="J47" s="25"/>
      <c r="K47" s="55">
        <v>121</v>
      </c>
      <c r="L47" s="25"/>
      <c r="M47" s="28">
        <v>170230</v>
      </c>
      <c r="N47" s="34"/>
      <c r="O47" s="56">
        <f t="shared" si="2"/>
        <v>2018801</v>
      </c>
      <c r="P47" s="18"/>
      <c r="Q47" s="31">
        <f t="shared" si="1"/>
        <v>128690</v>
      </c>
      <c r="R47" s="32"/>
      <c r="S47" s="35">
        <v>298920</v>
      </c>
    </row>
    <row r="48" spans="1:19" ht="15" customHeight="1" x14ac:dyDescent="0.25">
      <c r="A48" s="22" t="s">
        <v>65</v>
      </c>
      <c r="B48" s="23">
        <v>825320</v>
      </c>
      <c r="C48" s="24"/>
      <c r="D48" s="25"/>
      <c r="E48" s="26"/>
      <c r="F48" s="25"/>
      <c r="G48" s="27"/>
      <c r="H48" s="25"/>
      <c r="I48" s="25"/>
      <c r="J48" s="25"/>
      <c r="K48" s="55">
        <v>0</v>
      </c>
      <c r="L48" s="25"/>
      <c r="M48" s="28">
        <v>79510</v>
      </c>
      <c r="N48" s="34"/>
      <c r="O48" s="56">
        <f t="shared" si="2"/>
        <v>904830</v>
      </c>
      <c r="P48" s="18"/>
      <c r="Q48" s="31">
        <f t="shared" si="1"/>
        <v>86270</v>
      </c>
      <c r="R48" s="32"/>
      <c r="S48" s="35">
        <v>165780</v>
      </c>
    </row>
    <row r="49" spans="1:23" ht="14.25" customHeight="1" x14ac:dyDescent="0.25">
      <c r="A49" s="36" t="s">
        <v>66</v>
      </c>
      <c r="B49" s="23">
        <v>1708130</v>
      </c>
      <c r="C49" s="24"/>
      <c r="D49" s="25"/>
      <c r="E49" s="26"/>
      <c r="F49" s="25">
        <v>29660</v>
      </c>
      <c r="G49" s="27">
        <v>82660</v>
      </c>
      <c r="H49" s="25"/>
      <c r="I49" s="25"/>
      <c r="J49" s="25"/>
      <c r="K49" s="55">
        <v>150</v>
      </c>
      <c r="L49" s="25"/>
      <c r="M49" s="28">
        <v>121180</v>
      </c>
      <c r="N49" s="34"/>
      <c r="O49" s="56">
        <f>SUM(B49:M49)</f>
        <v>1941780</v>
      </c>
      <c r="P49" s="18"/>
      <c r="Q49" s="31">
        <f t="shared" si="1"/>
        <v>131480</v>
      </c>
      <c r="R49" s="32"/>
      <c r="S49" s="35">
        <v>252660</v>
      </c>
    </row>
    <row r="50" spans="1:23" ht="17.25" customHeight="1" x14ac:dyDescent="0.25">
      <c r="A50" s="22" t="s">
        <v>67</v>
      </c>
      <c r="B50" s="23">
        <v>1006630</v>
      </c>
      <c r="C50" s="24"/>
      <c r="D50" s="25"/>
      <c r="E50" s="26"/>
      <c r="F50" s="25"/>
      <c r="G50" s="27">
        <v>43610</v>
      </c>
      <c r="H50" s="25">
        <v>21760</v>
      </c>
      <c r="I50" s="25"/>
      <c r="J50" s="25"/>
      <c r="K50" s="55">
        <v>150</v>
      </c>
      <c r="L50" s="25"/>
      <c r="M50" s="28">
        <v>80160</v>
      </c>
      <c r="N50" s="34"/>
      <c r="O50" s="56">
        <f t="shared" si="2"/>
        <v>1152310</v>
      </c>
      <c r="P50" s="18"/>
      <c r="Q50" s="31">
        <f t="shared" si="1"/>
        <v>86980</v>
      </c>
      <c r="R50" s="32"/>
      <c r="S50" s="35">
        <v>167140</v>
      </c>
    </row>
    <row r="51" spans="1:23" ht="15" customHeight="1" x14ac:dyDescent="0.25">
      <c r="A51" s="22" t="s">
        <v>68</v>
      </c>
      <c r="B51" s="23">
        <v>3545370</v>
      </c>
      <c r="C51" s="24"/>
      <c r="D51" s="25"/>
      <c r="E51" s="26">
        <v>1117020</v>
      </c>
      <c r="F51" s="25">
        <v>17610</v>
      </c>
      <c r="G51" s="27"/>
      <c r="H51" s="25">
        <v>34530</v>
      </c>
      <c r="I51" s="25">
        <v>2930</v>
      </c>
      <c r="J51" s="25">
        <v>37260</v>
      </c>
      <c r="K51" s="55">
        <v>32</v>
      </c>
      <c r="L51" s="25"/>
      <c r="M51" s="28">
        <v>246770</v>
      </c>
      <c r="N51" s="34"/>
      <c r="O51" s="56">
        <f t="shared" si="2"/>
        <v>5001522</v>
      </c>
      <c r="P51" s="18"/>
      <c r="Q51" s="31">
        <f t="shared" si="1"/>
        <v>188370</v>
      </c>
      <c r="R51" s="32"/>
      <c r="S51" s="35">
        <f>(417.96+17.18)*1000</f>
        <v>435140</v>
      </c>
    </row>
    <row r="52" spans="1:23" ht="15" customHeight="1" x14ac:dyDescent="0.25">
      <c r="A52" s="22" t="s">
        <v>69</v>
      </c>
      <c r="B52" s="23">
        <v>784250</v>
      </c>
      <c r="C52" s="24"/>
      <c r="D52" s="25"/>
      <c r="E52" s="26"/>
      <c r="F52" s="25">
        <v>74750</v>
      </c>
      <c r="G52" s="27"/>
      <c r="H52" s="25">
        <v>9970</v>
      </c>
      <c r="I52" s="25"/>
      <c r="J52" s="25"/>
      <c r="K52" s="55">
        <v>87</v>
      </c>
      <c r="L52" s="25"/>
      <c r="M52" s="28">
        <v>56840</v>
      </c>
      <c r="N52" s="34"/>
      <c r="O52" s="56">
        <f t="shared" si="2"/>
        <v>925897</v>
      </c>
      <c r="P52" s="18"/>
      <c r="Q52" s="31">
        <f t="shared" si="1"/>
        <v>61660</v>
      </c>
      <c r="R52" s="32"/>
      <c r="S52" s="35">
        <v>118500</v>
      </c>
    </row>
    <row r="53" spans="1:23" ht="15" customHeight="1" x14ac:dyDescent="0.25">
      <c r="A53" s="22" t="s">
        <v>70</v>
      </c>
      <c r="B53" s="23">
        <v>35710</v>
      </c>
      <c r="C53" s="24"/>
      <c r="D53" s="25">
        <v>127040</v>
      </c>
      <c r="E53" s="26">
        <v>496240</v>
      </c>
      <c r="F53" s="25"/>
      <c r="G53" s="27">
        <v>6870</v>
      </c>
      <c r="H53" s="25">
        <v>1910</v>
      </c>
      <c r="I53" s="25"/>
      <c r="J53" s="25"/>
      <c r="K53" s="55">
        <v>0</v>
      </c>
      <c r="L53" s="25"/>
      <c r="M53" s="28">
        <v>14110</v>
      </c>
      <c r="N53" s="34"/>
      <c r="O53" s="56">
        <f t="shared" si="2"/>
        <v>681880</v>
      </c>
      <c r="P53" s="18"/>
      <c r="Q53" s="31">
        <f t="shared" si="1"/>
        <v>10670</v>
      </c>
      <c r="R53" s="32"/>
      <c r="S53" s="35">
        <v>24780</v>
      </c>
    </row>
    <row r="54" spans="1:23" ht="15" customHeight="1" x14ac:dyDescent="0.25">
      <c r="A54" s="22" t="s">
        <v>71</v>
      </c>
      <c r="B54" s="23">
        <v>3396720</v>
      </c>
      <c r="C54" s="24"/>
      <c r="D54" s="25"/>
      <c r="E54" s="26"/>
      <c r="F54" s="25">
        <v>306240</v>
      </c>
      <c r="G54" s="27">
        <v>7710</v>
      </c>
      <c r="H54" s="25">
        <v>195400</v>
      </c>
      <c r="I54" s="25"/>
      <c r="J54" s="25"/>
      <c r="K54" s="55">
        <v>19</v>
      </c>
      <c r="L54" s="25"/>
      <c r="M54" s="28">
        <v>167840</v>
      </c>
      <c r="N54" s="34"/>
      <c r="O54" s="56">
        <f t="shared" si="2"/>
        <v>4073929</v>
      </c>
      <c r="P54" s="18"/>
      <c r="Q54" s="31">
        <f t="shared" si="1"/>
        <v>191690</v>
      </c>
      <c r="R54" s="32"/>
      <c r="S54" s="35">
        <f>(286.43+73.1)*1000</f>
        <v>359530</v>
      </c>
    </row>
    <row r="55" spans="1:23" ht="15" customHeight="1" x14ac:dyDescent="0.25">
      <c r="A55" s="22" t="s">
        <v>72</v>
      </c>
      <c r="B55" s="23">
        <v>512660</v>
      </c>
      <c r="C55" s="24"/>
      <c r="D55" s="25"/>
      <c r="E55" s="26"/>
      <c r="F55" s="25">
        <v>529630</v>
      </c>
      <c r="G55" s="27">
        <v>159190</v>
      </c>
      <c r="H55" s="25"/>
      <c r="I55" s="25"/>
      <c r="J55" s="25">
        <v>130490</v>
      </c>
      <c r="K55" s="55">
        <v>0</v>
      </c>
      <c r="L55" s="25"/>
      <c r="M55" s="28">
        <v>0</v>
      </c>
      <c r="N55" s="34"/>
      <c r="O55" s="56">
        <f t="shared" si="2"/>
        <v>1331970</v>
      </c>
      <c r="P55" s="18"/>
      <c r="Q55" s="31">
        <f t="shared" si="1"/>
        <v>0</v>
      </c>
      <c r="R55" s="32"/>
      <c r="S55" s="35">
        <v>0</v>
      </c>
    </row>
    <row r="56" spans="1:23" ht="15" customHeight="1" x14ac:dyDescent="0.25">
      <c r="A56" s="22" t="s">
        <v>73</v>
      </c>
      <c r="B56" s="23">
        <v>399330</v>
      </c>
      <c r="C56" s="24"/>
      <c r="D56" s="25"/>
      <c r="E56" s="26"/>
      <c r="F56" s="25"/>
      <c r="G56" s="27"/>
      <c r="H56" s="25"/>
      <c r="I56" s="25"/>
      <c r="J56" s="25"/>
      <c r="K56" s="55">
        <v>0</v>
      </c>
      <c r="L56" s="25"/>
      <c r="M56" s="28">
        <v>37920</v>
      </c>
      <c r="N56" s="34"/>
      <c r="O56" s="56">
        <f t="shared" si="2"/>
        <v>437250</v>
      </c>
      <c r="P56" s="18"/>
      <c r="Q56" s="31">
        <f t="shared" si="1"/>
        <v>28660</v>
      </c>
      <c r="R56" s="32"/>
      <c r="S56" s="35">
        <v>66580</v>
      </c>
    </row>
    <row r="57" spans="1:23" ht="25.5" customHeight="1" x14ac:dyDescent="0.25">
      <c r="A57" s="22" t="s">
        <v>74</v>
      </c>
      <c r="B57" s="23">
        <v>1065000</v>
      </c>
      <c r="C57" s="24"/>
      <c r="D57" s="25"/>
      <c r="E57" s="26"/>
      <c r="F57" s="25"/>
      <c r="G57" s="27"/>
      <c r="H57" s="25">
        <v>5070</v>
      </c>
      <c r="I57" s="25"/>
      <c r="J57" s="25">
        <v>72650</v>
      </c>
      <c r="K57" s="55">
        <v>120</v>
      </c>
      <c r="L57" s="25"/>
      <c r="M57" s="28">
        <v>23120</v>
      </c>
      <c r="N57" s="34"/>
      <c r="O57" s="56">
        <f t="shared" si="2"/>
        <v>1165960</v>
      </c>
      <c r="P57" s="18"/>
      <c r="Q57" s="31">
        <f t="shared" si="1"/>
        <v>25080</v>
      </c>
      <c r="R57" s="32"/>
      <c r="S57" s="35">
        <v>48200</v>
      </c>
    </row>
    <row r="58" spans="1:23" ht="19.5" customHeight="1" x14ac:dyDescent="0.25">
      <c r="A58" s="22" t="s">
        <v>75</v>
      </c>
      <c r="B58" s="23">
        <v>864430</v>
      </c>
      <c r="C58" s="24"/>
      <c r="D58" s="25">
        <v>296710</v>
      </c>
      <c r="E58" s="26">
        <v>1416480</v>
      </c>
      <c r="F58" s="25"/>
      <c r="G58" s="27"/>
      <c r="H58" s="25">
        <v>15230</v>
      </c>
      <c r="I58" s="25"/>
      <c r="J58" s="25"/>
      <c r="K58" s="55">
        <v>0</v>
      </c>
      <c r="L58" s="25"/>
      <c r="M58" s="28">
        <v>18200</v>
      </c>
      <c r="N58" s="34"/>
      <c r="O58" s="56">
        <f t="shared" si="2"/>
        <v>2611050</v>
      </c>
      <c r="P58" s="18"/>
      <c r="Q58" s="31">
        <f t="shared" si="1"/>
        <v>13760</v>
      </c>
      <c r="R58" s="32"/>
      <c r="S58" s="35">
        <v>31960</v>
      </c>
    </row>
    <row r="59" spans="1:23" ht="17.25" customHeight="1" x14ac:dyDescent="0.25">
      <c r="A59" s="22" t="s">
        <v>76</v>
      </c>
      <c r="B59" s="23">
        <v>2175250</v>
      </c>
      <c r="C59" s="24"/>
      <c r="D59" s="25">
        <v>47900</v>
      </c>
      <c r="E59" s="26"/>
      <c r="F59" s="25"/>
      <c r="G59" s="27"/>
      <c r="H59" s="25"/>
      <c r="I59" s="25"/>
      <c r="J59" s="25"/>
      <c r="K59" s="55">
        <v>0</v>
      </c>
      <c r="L59" s="25"/>
      <c r="M59" s="28">
        <v>78860</v>
      </c>
      <c r="N59" s="34"/>
      <c r="O59" s="56">
        <f t="shared" si="2"/>
        <v>2302010</v>
      </c>
      <c r="P59" s="18"/>
      <c r="Q59" s="31">
        <f t="shared" si="1"/>
        <v>85560</v>
      </c>
      <c r="R59" s="32"/>
      <c r="S59" s="35">
        <v>164420</v>
      </c>
      <c r="W59" s="35"/>
    </row>
    <row r="60" spans="1:23" ht="28.5" customHeight="1" x14ac:dyDescent="0.25">
      <c r="A60" s="22" t="s">
        <v>77</v>
      </c>
      <c r="B60" s="23">
        <v>2288210</v>
      </c>
      <c r="C60" s="24"/>
      <c r="D60" s="25">
        <v>153020</v>
      </c>
      <c r="E60" s="26"/>
      <c r="F60" s="25"/>
      <c r="G60" s="27"/>
      <c r="H60" s="25"/>
      <c r="I60" s="25"/>
      <c r="J60" s="25"/>
      <c r="K60" s="55">
        <v>0</v>
      </c>
      <c r="L60" s="25"/>
      <c r="M60" s="28">
        <v>74440</v>
      </c>
      <c r="N60" s="34"/>
      <c r="O60" s="56">
        <f t="shared" si="2"/>
        <v>2515670</v>
      </c>
      <c r="P60" s="18"/>
      <c r="Q60" s="31">
        <f t="shared" si="1"/>
        <v>80760</v>
      </c>
      <c r="R60" s="32"/>
      <c r="S60" s="35">
        <v>155200</v>
      </c>
      <c r="W60" s="35"/>
    </row>
    <row r="61" spans="1:23" ht="12.75" customHeight="1" x14ac:dyDescent="0.25">
      <c r="A61" s="22" t="s">
        <v>78</v>
      </c>
      <c r="B61" s="23">
        <v>404030</v>
      </c>
      <c r="C61" s="34"/>
      <c r="D61" s="25"/>
      <c r="E61" s="26"/>
      <c r="F61" s="25"/>
      <c r="G61" s="27"/>
      <c r="H61" s="25"/>
      <c r="I61" s="25"/>
      <c r="J61" s="25"/>
      <c r="K61" s="55">
        <v>0</v>
      </c>
      <c r="L61" s="25"/>
      <c r="M61" s="28">
        <v>0</v>
      </c>
      <c r="N61" s="34"/>
      <c r="O61" s="56">
        <f t="shared" si="2"/>
        <v>404030</v>
      </c>
      <c r="P61" s="18"/>
      <c r="Q61" s="31">
        <f t="shared" si="1"/>
        <v>0</v>
      </c>
      <c r="R61" s="32"/>
      <c r="S61" s="35">
        <v>0</v>
      </c>
      <c r="W61" s="35"/>
    </row>
    <row r="62" spans="1:23" ht="12.75" customHeight="1" x14ac:dyDescent="0.25">
      <c r="A62" s="22" t="s">
        <v>79</v>
      </c>
      <c r="B62" s="23">
        <v>328330</v>
      </c>
      <c r="C62" s="24"/>
      <c r="D62" s="25"/>
      <c r="E62" s="26"/>
      <c r="F62" s="25"/>
      <c r="G62" s="27"/>
      <c r="H62" s="25"/>
      <c r="I62" s="25"/>
      <c r="J62" s="25"/>
      <c r="K62" s="55">
        <v>0</v>
      </c>
      <c r="L62" s="25"/>
      <c r="M62" s="28">
        <v>0</v>
      </c>
      <c r="N62" s="34"/>
      <c r="O62" s="56">
        <f t="shared" si="2"/>
        <v>328330</v>
      </c>
      <c r="P62" s="18"/>
      <c r="Q62" s="31">
        <f t="shared" si="1"/>
        <v>0</v>
      </c>
      <c r="R62" s="32"/>
      <c r="S62" s="35">
        <v>0</v>
      </c>
      <c r="W62" s="35"/>
    </row>
    <row r="63" spans="1:23" ht="12.75" customHeight="1" x14ac:dyDescent="0.25">
      <c r="A63" s="22" t="s">
        <v>80</v>
      </c>
      <c r="B63" s="23"/>
      <c r="C63" s="34"/>
      <c r="D63" s="25"/>
      <c r="E63" s="26"/>
      <c r="F63" s="25"/>
      <c r="G63" s="27"/>
      <c r="H63" s="25"/>
      <c r="I63" s="25"/>
      <c r="J63" s="25"/>
      <c r="K63" s="55">
        <v>0</v>
      </c>
      <c r="L63" s="25"/>
      <c r="M63" s="28">
        <v>0</v>
      </c>
      <c r="N63" s="34"/>
      <c r="O63" s="56">
        <f t="shared" si="2"/>
        <v>0</v>
      </c>
      <c r="P63" s="18"/>
      <c r="Q63" s="31">
        <f t="shared" si="1"/>
        <v>0</v>
      </c>
      <c r="R63" s="32"/>
      <c r="S63" s="35">
        <v>0</v>
      </c>
    </row>
    <row r="64" spans="1:23" ht="30.75" customHeight="1" x14ac:dyDescent="0.25">
      <c r="A64" s="22" t="s">
        <v>81</v>
      </c>
      <c r="B64" s="23">
        <v>1028090</v>
      </c>
      <c r="C64" s="24"/>
      <c r="D64" s="25"/>
      <c r="E64" s="26"/>
      <c r="F64" s="25"/>
      <c r="G64" s="27">
        <v>8100</v>
      </c>
      <c r="H64" s="25"/>
      <c r="I64" s="25"/>
      <c r="J64" s="25"/>
      <c r="K64" s="55">
        <v>208</v>
      </c>
      <c r="L64" s="25"/>
      <c r="M64" s="28">
        <v>51930</v>
      </c>
      <c r="N64" s="34"/>
      <c r="O64" s="56">
        <f t="shared" si="2"/>
        <v>1088328</v>
      </c>
      <c r="P64" s="18"/>
      <c r="Q64" s="31">
        <f t="shared" si="1"/>
        <v>52650</v>
      </c>
      <c r="R64" s="32"/>
      <c r="S64" s="35">
        <f>(5.74+5.54+93.3)*1000</f>
        <v>104580</v>
      </c>
    </row>
    <row r="65" spans="1:19" ht="12.75" customHeight="1" x14ac:dyDescent="0.25">
      <c r="A65" s="22" t="s">
        <v>82</v>
      </c>
      <c r="B65" s="23">
        <v>762000</v>
      </c>
      <c r="C65" s="24"/>
      <c r="D65" s="25"/>
      <c r="E65" s="26"/>
      <c r="F65" s="25">
        <v>163450</v>
      </c>
      <c r="G65" s="27">
        <v>80930</v>
      </c>
      <c r="H65" s="25"/>
      <c r="I65" s="25"/>
      <c r="J65" s="25"/>
      <c r="K65" s="55">
        <v>174</v>
      </c>
      <c r="L65" s="25"/>
      <c r="M65" s="28">
        <v>28710</v>
      </c>
      <c r="N65" s="34"/>
      <c r="O65" s="56">
        <f t="shared" si="2"/>
        <v>1035264</v>
      </c>
      <c r="P65" s="18"/>
      <c r="Q65" s="31">
        <f t="shared" si="1"/>
        <v>31150</v>
      </c>
      <c r="R65" s="32"/>
      <c r="S65" s="35">
        <v>59860</v>
      </c>
    </row>
    <row r="66" spans="1:19" ht="20.25" customHeight="1" x14ac:dyDescent="0.25">
      <c r="A66" s="22" t="s">
        <v>83</v>
      </c>
      <c r="B66" s="23">
        <v>2042740</v>
      </c>
      <c r="C66" s="24">
        <v>449870</v>
      </c>
      <c r="D66" s="25"/>
      <c r="E66" s="26"/>
      <c r="F66" s="25">
        <v>232300</v>
      </c>
      <c r="G66" s="27">
        <v>77360</v>
      </c>
      <c r="H66" s="25"/>
      <c r="I66" s="25"/>
      <c r="J66" s="25"/>
      <c r="K66" s="55">
        <v>0</v>
      </c>
      <c r="L66" s="25"/>
      <c r="M66" s="28">
        <v>32430</v>
      </c>
      <c r="N66" s="34"/>
      <c r="O66" s="56">
        <f t="shared" si="2"/>
        <v>2834700</v>
      </c>
      <c r="P66" s="18"/>
      <c r="Q66" s="31">
        <f t="shared" si="1"/>
        <v>31250</v>
      </c>
      <c r="R66" s="32"/>
      <c r="S66" s="35">
        <v>63680</v>
      </c>
    </row>
    <row r="67" spans="1:19" ht="15" customHeight="1" x14ac:dyDescent="0.25">
      <c r="A67" s="22" t="s">
        <v>84</v>
      </c>
      <c r="B67" s="23">
        <v>400100</v>
      </c>
      <c r="C67" s="24"/>
      <c r="D67" s="25"/>
      <c r="E67" s="26">
        <v>439450</v>
      </c>
      <c r="F67" s="25">
        <v>250870</v>
      </c>
      <c r="G67" s="27">
        <v>8790</v>
      </c>
      <c r="H67" s="25">
        <v>14320</v>
      </c>
      <c r="I67" s="25"/>
      <c r="J67" s="25"/>
      <c r="K67" s="55">
        <v>265</v>
      </c>
      <c r="L67" s="25"/>
      <c r="M67" s="28">
        <v>96820</v>
      </c>
      <c r="N67" s="34"/>
      <c r="O67" s="56">
        <f t="shared" si="2"/>
        <v>1210615</v>
      </c>
      <c r="P67" s="18"/>
      <c r="Q67" s="31">
        <f t="shared" si="1"/>
        <v>73200</v>
      </c>
      <c r="R67" s="32"/>
      <c r="S67" s="35">
        <v>170020</v>
      </c>
    </row>
    <row r="68" spans="1:19" ht="15" customHeight="1" x14ac:dyDescent="0.25">
      <c r="A68" s="22" t="s">
        <v>85</v>
      </c>
      <c r="B68" s="23">
        <v>1684970</v>
      </c>
      <c r="C68" s="24"/>
      <c r="D68" s="25"/>
      <c r="E68" s="26"/>
      <c r="F68" s="25">
        <v>197540</v>
      </c>
      <c r="G68" s="27">
        <v>8020</v>
      </c>
      <c r="H68" s="25">
        <v>61780</v>
      </c>
      <c r="I68" s="25"/>
      <c r="J68" s="25"/>
      <c r="K68" s="55">
        <v>19</v>
      </c>
      <c r="L68" s="25"/>
      <c r="M68" s="28">
        <v>136860</v>
      </c>
      <c r="N68" s="34"/>
      <c r="O68" s="56">
        <f t="shared" si="2"/>
        <v>2089189</v>
      </c>
      <c r="P68" s="18"/>
      <c r="Q68" s="31">
        <f t="shared" si="1"/>
        <v>148480</v>
      </c>
      <c r="R68" s="32"/>
      <c r="S68" s="35">
        <v>285340</v>
      </c>
    </row>
    <row r="69" spans="1:19" ht="15" customHeight="1" x14ac:dyDescent="0.25">
      <c r="A69" s="22" t="s">
        <v>86</v>
      </c>
      <c r="B69" s="23">
        <v>2015920</v>
      </c>
      <c r="C69" s="24"/>
      <c r="D69" s="25">
        <v>261150</v>
      </c>
      <c r="E69" s="26"/>
      <c r="F69" s="25"/>
      <c r="G69" s="27"/>
      <c r="H69" s="25">
        <v>27210</v>
      </c>
      <c r="I69" s="25"/>
      <c r="J69" s="25"/>
      <c r="K69" s="55">
        <v>0</v>
      </c>
      <c r="L69" s="25"/>
      <c r="M69" s="28">
        <v>0</v>
      </c>
      <c r="N69" s="34"/>
      <c r="O69" s="56">
        <f t="shared" si="2"/>
        <v>2304280</v>
      </c>
      <c r="P69" s="18"/>
      <c r="Q69" s="31">
        <f>(S69-M69)</f>
        <v>0</v>
      </c>
      <c r="R69" s="32"/>
      <c r="S69" s="35">
        <v>0</v>
      </c>
    </row>
    <row r="70" spans="1:19" ht="34.5" customHeight="1" x14ac:dyDescent="0.2">
      <c r="A70" s="37" t="s">
        <v>87</v>
      </c>
      <c r="B70" s="38">
        <f>SUM(B4:B69)</f>
        <v>93749850</v>
      </c>
      <c r="C70" s="38">
        <f t="shared" ref="C70:K70" si="3">SUM(C4:C69)</f>
        <v>4256470</v>
      </c>
      <c r="D70" s="38">
        <f>SUM(D4:D69)</f>
        <v>1291250</v>
      </c>
      <c r="E70" s="39">
        <f t="shared" si="3"/>
        <v>12775700</v>
      </c>
      <c r="F70" s="40">
        <f t="shared" si="3"/>
        <v>11582820</v>
      </c>
      <c r="G70" s="40">
        <f>SUM(G4:G69)</f>
        <v>1551470</v>
      </c>
      <c r="H70" s="40">
        <f t="shared" si="3"/>
        <v>1367100</v>
      </c>
      <c r="I70" s="40">
        <f t="shared" si="3"/>
        <v>8820</v>
      </c>
      <c r="J70" s="40">
        <f t="shared" si="3"/>
        <v>562220</v>
      </c>
      <c r="K70" s="40">
        <f t="shared" si="3"/>
        <v>6602</v>
      </c>
      <c r="L70" s="41"/>
      <c r="M70" s="42">
        <f>SUM(M4:M69)</f>
        <v>5250590</v>
      </c>
      <c r="N70" s="43"/>
      <c r="O70" s="42">
        <f>SUM(O4:O69)</f>
        <v>132402892</v>
      </c>
      <c r="P70" s="44"/>
      <c r="Q70" s="45">
        <f>SUM(Q4:Q69)</f>
        <v>5850890</v>
      </c>
      <c r="R70" s="46">
        <f>SUM(R4:R69)</f>
        <v>0</v>
      </c>
      <c r="S70" s="47">
        <f>SUM(S4:S69)</f>
        <v>11101480</v>
      </c>
    </row>
    <row r="71" spans="1:19" ht="21" customHeight="1" x14ac:dyDescent="0.2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50"/>
      <c r="O71" s="49"/>
      <c r="P71" s="18"/>
      <c r="Q71" s="49"/>
    </row>
    <row r="72" spans="1:19" ht="27.75" customHeight="1" x14ac:dyDescent="0.2">
      <c r="A72" s="99" t="s">
        <v>88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</row>
    <row r="74" spans="1:19" x14ac:dyDescent="0.2">
      <c r="M74" s="52">
        <f>M70+Q70</f>
        <v>11101480</v>
      </c>
    </row>
    <row r="75" spans="1:19" x14ac:dyDescent="0.2">
      <c r="G75" s="57"/>
    </row>
  </sheetData>
  <mergeCells count="3">
    <mergeCell ref="A1:M1"/>
    <mergeCell ref="B2:K2"/>
    <mergeCell ref="A72:Q7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29CB-8976-43F9-87EE-9E2AAD5A0537}">
  <sheetPr codeName="Sheet10"/>
  <dimension ref="A1:AL74"/>
  <sheetViews>
    <sheetView workbookViewId="0">
      <pane xSplit="1" ySplit="3" topLeftCell="G9" activePane="bottomRight" state="frozen"/>
      <selection activeCell="R70" sqref="R70"/>
      <selection pane="topRight" activeCell="R70" sqref="R70"/>
      <selection pane="bottomLeft" activeCell="R70" sqref="R70"/>
      <selection pane="bottomRight" activeCell="R70" sqref="R70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5" width="11.42578125" style="1" customWidth="1"/>
    <col min="6" max="6" width="13.140625" style="1" customWidth="1"/>
    <col min="7" max="7" width="11.140625" style="51" customWidth="1"/>
    <col min="8" max="8" width="10.7109375" style="1" customWidth="1"/>
    <col min="9" max="9" width="9" style="1" customWidth="1"/>
    <col min="10" max="10" width="9.140625" style="1" customWidth="1"/>
    <col min="11" max="11" width="10" style="1" customWidth="1"/>
    <col min="12" max="12" width="1.7109375" style="1" customWidth="1"/>
    <col min="13" max="13" width="12.42578125" style="53" customWidth="1"/>
    <col min="14" max="14" width="2" style="1" customWidth="1"/>
    <col min="15" max="15" width="13.85546875" style="1" customWidth="1"/>
    <col min="16" max="16" width="3.85546875" style="1" customWidth="1"/>
    <col min="17" max="17" width="12.42578125" style="53" customWidth="1"/>
    <col min="18" max="18" width="12.5703125" style="1" customWidth="1"/>
    <col min="19" max="19" width="12.7109375" style="1" bestFit="1" customWidth="1"/>
    <col min="20" max="22" width="6.85546875" style="1"/>
    <col min="23" max="23" width="10.140625" style="1" bestFit="1" customWidth="1"/>
    <col min="24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1" width="11.42578125" style="1" customWidth="1"/>
    <col min="262" max="262" width="13.140625" style="1" customWidth="1"/>
    <col min="263" max="263" width="11.140625" style="1" customWidth="1"/>
    <col min="264" max="264" width="10.7109375" style="1" customWidth="1"/>
    <col min="265" max="265" width="9" style="1" customWidth="1"/>
    <col min="266" max="266" width="9.140625" style="1" customWidth="1"/>
    <col min="267" max="267" width="10" style="1" customWidth="1"/>
    <col min="268" max="268" width="1.7109375" style="1" customWidth="1"/>
    <col min="269" max="269" width="12.42578125" style="1" customWidth="1"/>
    <col min="270" max="270" width="2" style="1" customWidth="1"/>
    <col min="271" max="271" width="13.85546875" style="1" customWidth="1"/>
    <col min="272" max="272" width="3.85546875" style="1" customWidth="1"/>
    <col min="273" max="273" width="12.42578125" style="1" customWidth="1"/>
    <col min="274" max="274" width="12.5703125" style="1" customWidth="1"/>
    <col min="275" max="275" width="12.7109375" style="1" bestFit="1" customWidth="1"/>
    <col min="276" max="278" width="6.85546875" style="1"/>
    <col min="279" max="279" width="10.140625" style="1" bestFit="1" customWidth="1"/>
    <col min="280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7" width="11.42578125" style="1" customWidth="1"/>
    <col min="518" max="518" width="13.140625" style="1" customWidth="1"/>
    <col min="519" max="519" width="11.140625" style="1" customWidth="1"/>
    <col min="520" max="520" width="10.7109375" style="1" customWidth="1"/>
    <col min="521" max="521" width="9" style="1" customWidth="1"/>
    <col min="522" max="522" width="9.140625" style="1" customWidth="1"/>
    <col min="523" max="523" width="10" style="1" customWidth="1"/>
    <col min="524" max="524" width="1.7109375" style="1" customWidth="1"/>
    <col min="525" max="525" width="12.42578125" style="1" customWidth="1"/>
    <col min="526" max="526" width="2" style="1" customWidth="1"/>
    <col min="527" max="527" width="13.85546875" style="1" customWidth="1"/>
    <col min="528" max="528" width="3.85546875" style="1" customWidth="1"/>
    <col min="529" max="529" width="12.42578125" style="1" customWidth="1"/>
    <col min="530" max="530" width="12.5703125" style="1" customWidth="1"/>
    <col min="531" max="531" width="12.7109375" style="1" bestFit="1" customWidth="1"/>
    <col min="532" max="534" width="6.85546875" style="1"/>
    <col min="535" max="535" width="10.140625" style="1" bestFit="1" customWidth="1"/>
    <col min="536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3" width="11.42578125" style="1" customWidth="1"/>
    <col min="774" max="774" width="13.140625" style="1" customWidth="1"/>
    <col min="775" max="775" width="11.140625" style="1" customWidth="1"/>
    <col min="776" max="776" width="10.7109375" style="1" customWidth="1"/>
    <col min="777" max="777" width="9" style="1" customWidth="1"/>
    <col min="778" max="778" width="9.140625" style="1" customWidth="1"/>
    <col min="779" max="779" width="10" style="1" customWidth="1"/>
    <col min="780" max="780" width="1.7109375" style="1" customWidth="1"/>
    <col min="781" max="781" width="12.42578125" style="1" customWidth="1"/>
    <col min="782" max="782" width="2" style="1" customWidth="1"/>
    <col min="783" max="783" width="13.85546875" style="1" customWidth="1"/>
    <col min="784" max="784" width="3.85546875" style="1" customWidth="1"/>
    <col min="785" max="785" width="12.42578125" style="1" customWidth="1"/>
    <col min="786" max="786" width="12.5703125" style="1" customWidth="1"/>
    <col min="787" max="787" width="12.7109375" style="1" bestFit="1" customWidth="1"/>
    <col min="788" max="790" width="6.85546875" style="1"/>
    <col min="791" max="791" width="10.140625" style="1" bestFit="1" customWidth="1"/>
    <col min="792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29" width="11.42578125" style="1" customWidth="1"/>
    <col min="1030" max="1030" width="13.140625" style="1" customWidth="1"/>
    <col min="1031" max="1031" width="11.140625" style="1" customWidth="1"/>
    <col min="1032" max="1032" width="10.7109375" style="1" customWidth="1"/>
    <col min="1033" max="1033" width="9" style="1" customWidth="1"/>
    <col min="1034" max="1034" width="9.140625" style="1" customWidth="1"/>
    <col min="1035" max="1035" width="10" style="1" customWidth="1"/>
    <col min="1036" max="1036" width="1.7109375" style="1" customWidth="1"/>
    <col min="1037" max="1037" width="12.42578125" style="1" customWidth="1"/>
    <col min="1038" max="1038" width="2" style="1" customWidth="1"/>
    <col min="1039" max="1039" width="13.85546875" style="1" customWidth="1"/>
    <col min="1040" max="1040" width="3.85546875" style="1" customWidth="1"/>
    <col min="1041" max="1041" width="12.42578125" style="1" customWidth="1"/>
    <col min="1042" max="1042" width="12.5703125" style="1" customWidth="1"/>
    <col min="1043" max="1043" width="12.7109375" style="1" bestFit="1" customWidth="1"/>
    <col min="1044" max="1046" width="6.85546875" style="1"/>
    <col min="1047" max="1047" width="10.140625" style="1" bestFit="1" customWidth="1"/>
    <col min="1048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5" width="11.42578125" style="1" customWidth="1"/>
    <col min="1286" max="1286" width="13.140625" style="1" customWidth="1"/>
    <col min="1287" max="1287" width="11.140625" style="1" customWidth="1"/>
    <col min="1288" max="1288" width="10.7109375" style="1" customWidth="1"/>
    <col min="1289" max="1289" width="9" style="1" customWidth="1"/>
    <col min="1290" max="1290" width="9.140625" style="1" customWidth="1"/>
    <col min="1291" max="1291" width="10" style="1" customWidth="1"/>
    <col min="1292" max="1292" width="1.7109375" style="1" customWidth="1"/>
    <col min="1293" max="1293" width="12.42578125" style="1" customWidth="1"/>
    <col min="1294" max="1294" width="2" style="1" customWidth="1"/>
    <col min="1295" max="1295" width="13.85546875" style="1" customWidth="1"/>
    <col min="1296" max="1296" width="3.85546875" style="1" customWidth="1"/>
    <col min="1297" max="1297" width="12.42578125" style="1" customWidth="1"/>
    <col min="1298" max="1298" width="12.5703125" style="1" customWidth="1"/>
    <col min="1299" max="1299" width="12.7109375" style="1" bestFit="1" customWidth="1"/>
    <col min="1300" max="1302" width="6.85546875" style="1"/>
    <col min="1303" max="1303" width="10.140625" style="1" bestFit="1" customWidth="1"/>
    <col min="1304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1" width="11.42578125" style="1" customWidth="1"/>
    <col min="1542" max="1542" width="13.140625" style="1" customWidth="1"/>
    <col min="1543" max="1543" width="11.140625" style="1" customWidth="1"/>
    <col min="1544" max="1544" width="10.7109375" style="1" customWidth="1"/>
    <col min="1545" max="1545" width="9" style="1" customWidth="1"/>
    <col min="1546" max="1546" width="9.140625" style="1" customWidth="1"/>
    <col min="1547" max="1547" width="10" style="1" customWidth="1"/>
    <col min="1548" max="1548" width="1.7109375" style="1" customWidth="1"/>
    <col min="1549" max="1549" width="12.42578125" style="1" customWidth="1"/>
    <col min="1550" max="1550" width="2" style="1" customWidth="1"/>
    <col min="1551" max="1551" width="13.85546875" style="1" customWidth="1"/>
    <col min="1552" max="1552" width="3.85546875" style="1" customWidth="1"/>
    <col min="1553" max="1553" width="12.42578125" style="1" customWidth="1"/>
    <col min="1554" max="1554" width="12.5703125" style="1" customWidth="1"/>
    <col min="1555" max="1555" width="12.7109375" style="1" bestFit="1" customWidth="1"/>
    <col min="1556" max="1558" width="6.85546875" style="1"/>
    <col min="1559" max="1559" width="10.140625" style="1" bestFit="1" customWidth="1"/>
    <col min="1560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7" width="11.42578125" style="1" customWidth="1"/>
    <col min="1798" max="1798" width="13.140625" style="1" customWidth="1"/>
    <col min="1799" max="1799" width="11.140625" style="1" customWidth="1"/>
    <col min="1800" max="1800" width="10.7109375" style="1" customWidth="1"/>
    <col min="1801" max="1801" width="9" style="1" customWidth="1"/>
    <col min="1802" max="1802" width="9.140625" style="1" customWidth="1"/>
    <col min="1803" max="1803" width="10" style="1" customWidth="1"/>
    <col min="1804" max="1804" width="1.7109375" style="1" customWidth="1"/>
    <col min="1805" max="1805" width="12.42578125" style="1" customWidth="1"/>
    <col min="1806" max="1806" width="2" style="1" customWidth="1"/>
    <col min="1807" max="1807" width="13.85546875" style="1" customWidth="1"/>
    <col min="1808" max="1808" width="3.85546875" style="1" customWidth="1"/>
    <col min="1809" max="1809" width="12.42578125" style="1" customWidth="1"/>
    <col min="1810" max="1810" width="12.5703125" style="1" customWidth="1"/>
    <col min="1811" max="1811" width="12.7109375" style="1" bestFit="1" customWidth="1"/>
    <col min="1812" max="1814" width="6.85546875" style="1"/>
    <col min="1815" max="1815" width="10.140625" style="1" bestFit="1" customWidth="1"/>
    <col min="1816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3" width="11.42578125" style="1" customWidth="1"/>
    <col min="2054" max="2054" width="13.140625" style="1" customWidth="1"/>
    <col min="2055" max="2055" width="11.140625" style="1" customWidth="1"/>
    <col min="2056" max="2056" width="10.7109375" style="1" customWidth="1"/>
    <col min="2057" max="2057" width="9" style="1" customWidth="1"/>
    <col min="2058" max="2058" width="9.140625" style="1" customWidth="1"/>
    <col min="2059" max="2059" width="10" style="1" customWidth="1"/>
    <col min="2060" max="2060" width="1.7109375" style="1" customWidth="1"/>
    <col min="2061" max="2061" width="12.42578125" style="1" customWidth="1"/>
    <col min="2062" max="2062" width="2" style="1" customWidth="1"/>
    <col min="2063" max="2063" width="13.85546875" style="1" customWidth="1"/>
    <col min="2064" max="2064" width="3.85546875" style="1" customWidth="1"/>
    <col min="2065" max="2065" width="12.42578125" style="1" customWidth="1"/>
    <col min="2066" max="2066" width="12.5703125" style="1" customWidth="1"/>
    <col min="2067" max="2067" width="12.7109375" style="1" bestFit="1" customWidth="1"/>
    <col min="2068" max="2070" width="6.85546875" style="1"/>
    <col min="2071" max="2071" width="10.140625" style="1" bestFit="1" customWidth="1"/>
    <col min="2072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09" width="11.42578125" style="1" customWidth="1"/>
    <col min="2310" max="2310" width="13.140625" style="1" customWidth="1"/>
    <col min="2311" max="2311" width="11.140625" style="1" customWidth="1"/>
    <col min="2312" max="2312" width="10.7109375" style="1" customWidth="1"/>
    <col min="2313" max="2313" width="9" style="1" customWidth="1"/>
    <col min="2314" max="2314" width="9.140625" style="1" customWidth="1"/>
    <col min="2315" max="2315" width="10" style="1" customWidth="1"/>
    <col min="2316" max="2316" width="1.7109375" style="1" customWidth="1"/>
    <col min="2317" max="2317" width="12.42578125" style="1" customWidth="1"/>
    <col min="2318" max="2318" width="2" style="1" customWidth="1"/>
    <col min="2319" max="2319" width="13.85546875" style="1" customWidth="1"/>
    <col min="2320" max="2320" width="3.85546875" style="1" customWidth="1"/>
    <col min="2321" max="2321" width="12.42578125" style="1" customWidth="1"/>
    <col min="2322" max="2322" width="12.5703125" style="1" customWidth="1"/>
    <col min="2323" max="2323" width="12.7109375" style="1" bestFit="1" customWidth="1"/>
    <col min="2324" max="2326" width="6.85546875" style="1"/>
    <col min="2327" max="2327" width="10.140625" style="1" bestFit="1" customWidth="1"/>
    <col min="2328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5" width="11.42578125" style="1" customWidth="1"/>
    <col min="2566" max="2566" width="13.140625" style="1" customWidth="1"/>
    <col min="2567" max="2567" width="11.140625" style="1" customWidth="1"/>
    <col min="2568" max="2568" width="10.7109375" style="1" customWidth="1"/>
    <col min="2569" max="2569" width="9" style="1" customWidth="1"/>
    <col min="2570" max="2570" width="9.140625" style="1" customWidth="1"/>
    <col min="2571" max="2571" width="10" style="1" customWidth="1"/>
    <col min="2572" max="2572" width="1.7109375" style="1" customWidth="1"/>
    <col min="2573" max="2573" width="12.42578125" style="1" customWidth="1"/>
    <col min="2574" max="2574" width="2" style="1" customWidth="1"/>
    <col min="2575" max="2575" width="13.85546875" style="1" customWidth="1"/>
    <col min="2576" max="2576" width="3.85546875" style="1" customWidth="1"/>
    <col min="2577" max="2577" width="12.42578125" style="1" customWidth="1"/>
    <col min="2578" max="2578" width="12.5703125" style="1" customWidth="1"/>
    <col min="2579" max="2579" width="12.7109375" style="1" bestFit="1" customWidth="1"/>
    <col min="2580" max="2582" width="6.85546875" style="1"/>
    <col min="2583" max="2583" width="10.140625" style="1" bestFit="1" customWidth="1"/>
    <col min="2584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1" width="11.42578125" style="1" customWidth="1"/>
    <col min="2822" max="2822" width="13.140625" style="1" customWidth="1"/>
    <col min="2823" max="2823" width="11.140625" style="1" customWidth="1"/>
    <col min="2824" max="2824" width="10.7109375" style="1" customWidth="1"/>
    <col min="2825" max="2825" width="9" style="1" customWidth="1"/>
    <col min="2826" max="2826" width="9.140625" style="1" customWidth="1"/>
    <col min="2827" max="2827" width="10" style="1" customWidth="1"/>
    <col min="2828" max="2828" width="1.7109375" style="1" customWidth="1"/>
    <col min="2829" max="2829" width="12.42578125" style="1" customWidth="1"/>
    <col min="2830" max="2830" width="2" style="1" customWidth="1"/>
    <col min="2831" max="2831" width="13.85546875" style="1" customWidth="1"/>
    <col min="2832" max="2832" width="3.85546875" style="1" customWidth="1"/>
    <col min="2833" max="2833" width="12.42578125" style="1" customWidth="1"/>
    <col min="2834" max="2834" width="12.5703125" style="1" customWidth="1"/>
    <col min="2835" max="2835" width="12.7109375" style="1" bestFit="1" customWidth="1"/>
    <col min="2836" max="2838" width="6.85546875" style="1"/>
    <col min="2839" max="2839" width="10.140625" style="1" bestFit="1" customWidth="1"/>
    <col min="2840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7" width="11.42578125" style="1" customWidth="1"/>
    <col min="3078" max="3078" width="13.140625" style="1" customWidth="1"/>
    <col min="3079" max="3079" width="11.140625" style="1" customWidth="1"/>
    <col min="3080" max="3080" width="10.7109375" style="1" customWidth="1"/>
    <col min="3081" max="3081" width="9" style="1" customWidth="1"/>
    <col min="3082" max="3082" width="9.140625" style="1" customWidth="1"/>
    <col min="3083" max="3083" width="10" style="1" customWidth="1"/>
    <col min="3084" max="3084" width="1.7109375" style="1" customWidth="1"/>
    <col min="3085" max="3085" width="12.42578125" style="1" customWidth="1"/>
    <col min="3086" max="3086" width="2" style="1" customWidth="1"/>
    <col min="3087" max="3087" width="13.85546875" style="1" customWidth="1"/>
    <col min="3088" max="3088" width="3.85546875" style="1" customWidth="1"/>
    <col min="3089" max="3089" width="12.42578125" style="1" customWidth="1"/>
    <col min="3090" max="3090" width="12.5703125" style="1" customWidth="1"/>
    <col min="3091" max="3091" width="12.7109375" style="1" bestFit="1" customWidth="1"/>
    <col min="3092" max="3094" width="6.85546875" style="1"/>
    <col min="3095" max="3095" width="10.140625" style="1" bestFit="1" customWidth="1"/>
    <col min="3096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3" width="11.42578125" style="1" customWidth="1"/>
    <col min="3334" max="3334" width="13.140625" style="1" customWidth="1"/>
    <col min="3335" max="3335" width="11.140625" style="1" customWidth="1"/>
    <col min="3336" max="3336" width="10.7109375" style="1" customWidth="1"/>
    <col min="3337" max="3337" width="9" style="1" customWidth="1"/>
    <col min="3338" max="3338" width="9.140625" style="1" customWidth="1"/>
    <col min="3339" max="3339" width="10" style="1" customWidth="1"/>
    <col min="3340" max="3340" width="1.7109375" style="1" customWidth="1"/>
    <col min="3341" max="3341" width="12.42578125" style="1" customWidth="1"/>
    <col min="3342" max="3342" width="2" style="1" customWidth="1"/>
    <col min="3343" max="3343" width="13.85546875" style="1" customWidth="1"/>
    <col min="3344" max="3344" width="3.85546875" style="1" customWidth="1"/>
    <col min="3345" max="3345" width="12.42578125" style="1" customWidth="1"/>
    <col min="3346" max="3346" width="12.5703125" style="1" customWidth="1"/>
    <col min="3347" max="3347" width="12.7109375" style="1" bestFit="1" customWidth="1"/>
    <col min="3348" max="3350" width="6.85546875" style="1"/>
    <col min="3351" max="3351" width="10.140625" style="1" bestFit="1" customWidth="1"/>
    <col min="3352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89" width="11.42578125" style="1" customWidth="1"/>
    <col min="3590" max="3590" width="13.140625" style="1" customWidth="1"/>
    <col min="3591" max="3591" width="11.140625" style="1" customWidth="1"/>
    <col min="3592" max="3592" width="10.7109375" style="1" customWidth="1"/>
    <col min="3593" max="3593" width="9" style="1" customWidth="1"/>
    <col min="3594" max="3594" width="9.140625" style="1" customWidth="1"/>
    <col min="3595" max="3595" width="10" style="1" customWidth="1"/>
    <col min="3596" max="3596" width="1.7109375" style="1" customWidth="1"/>
    <col min="3597" max="3597" width="12.42578125" style="1" customWidth="1"/>
    <col min="3598" max="3598" width="2" style="1" customWidth="1"/>
    <col min="3599" max="3599" width="13.85546875" style="1" customWidth="1"/>
    <col min="3600" max="3600" width="3.85546875" style="1" customWidth="1"/>
    <col min="3601" max="3601" width="12.42578125" style="1" customWidth="1"/>
    <col min="3602" max="3602" width="12.5703125" style="1" customWidth="1"/>
    <col min="3603" max="3603" width="12.7109375" style="1" bestFit="1" customWidth="1"/>
    <col min="3604" max="3606" width="6.85546875" style="1"/>
    <col min="3607" max="3607" width="10.140625" style="1" bestFit="1" customWidth="1"/>
    <col min="3608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5" width="11.42578125" style="1" customWidth="1"/>
    <col min="3846" max="3846" width="13.140625" style="1" customWidth="1"/>
    <col min="3847" max="3847" width="11.140625" style="1" customWidth="1"/>
    <col min="3848" max="3848" width="10.7109375" style="1" customWidth="1"/>
    <col min="3849" max="3849" width="9" style="1" customWidth="1"/>
    <col min="3850" max="3850" width="9.140625" style="1" customWidth="1"/>
    <col min="3851" max="3851" width="10" style="1" customWidth="1"/>
    <col min="3852" max="3852" width="1.7109375" style="1" customWidth="1"/>
    <col min="3853" max="3853" width="12.42578125" style="1" customWidth="1"/>
    <col min="3854" max="3854" width="2" style="1" customWidth="1"/>
    <col min="3855" max="3855" width="13.85546875" style="1" customWidth="1"/>
    <col min="3856" max="3856" width="3.85546875" style="1" customWidth="1"/>
    <col min="3857" max="3857" width="12.42578125" style="1" customWidth="1"/>
    <col min="3858" max="3858" width="12.5703125" style="1" customWidth="1"/>
    <col min="3859" max="3859" width="12.7109375" style="1" bestFit="1" customWidth="1"/>
    <col min="3860" max="3862" width="6.85546875" style="1"/>
    <col min="3863" max="3863" width="10.140625" style="1" bestFit="1" customWidth="1"/>
    <col min="3864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1" width="11.42578125" style="1" customWidth="1"/>
    <col min="4102" max="4102" width="13.140625" style="1" customWidth="1"/>
    <col min="4103" max="4103" width="11.140625" style="1" customWidth="1"/>
    <col min="4104" max="4104" width="10.7109375" style="1" customWidth="1"/>
    <col min="4105" max="4105" width="9" style="1" customWidth="1"/>
    <col min="4106" max="4106" width="9.140625" style="1" customWidth="1"/>
    <col min="4107" max="4107" width="10" style="1" customWidth="1"/>
    <col min="4108" max="4108" width="1.7109375" style="1" customWidth="1"/>
    <col min="4109" max="4109" width="12.42578125" style="1" customWidth="1"/>
    <col min="4110" max="4110" width="2" style="1" customWidth="1"/>
    <col min="4111" max="4111" width="13.85546875" style="1" customWidth="1"/>
    <col min="4112" max="4112" width="3.85546875" style="1" customWidth="1"/>
    <col min="4113" max="4113" width="12.42578125" style="1" customWidth="1"/>
    <col min="4114" max="4114" width="12.5703125" style="1" customWidth="1"/>
    <col min="4115" max="4115" width="12.7109375" style="1" bestFit="1" customWidth="1"/>
    <col min="4116" max="4118" width="6.85546875" style="1"/>
    <col min="4119" max="4119" width="10.140625" style="1" bestFit="1" customWidth="1"/>
    <col min="4120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7" width="11.42578125" style="1" customWidth="1"/>
    <col min="4358" max="4358" width="13.140625" style="1" customWidth="1"/>
    <col min="4359" max="4359" width="11.140625" style="1" customWidth="1"/>
    <col min="4360" max="4360" width="10.7109375" style="1" customWidth="1"/>
    <col min="4361" max="4361" width="9" style="1" customWidth="1"/>
    <col min="4362" max="4362" width="9.140625" style="1" customWidth="1"/>
    <col min="4363" max="4363" width="10" style="1" customWidth="1"/>
    <col min="4364" max="4364" width="1.7109375" style="1" customWidth="1"/>
    <col min="4365" max="4365" width="12.42578125" style="1" customWidth="1"/>
    <col min="4366" max="4366" width="2" style="1" customWidth="1"/>
    <col min="4367" max="4367" width="13.85546875" style="1" customWidth="1"/>
    <col min="4368" max="4368" width="3.85546875" style="1" customWidth="1"/>
    <col min="4369" max="4369" width="12.42578125" style="1" customWidth="1"/>
    <col min="4370" max="4370" width="12.5703125" style="1" customWidth="1"/>
    <col min="4371" max="4371" width="12.7109375" style="1" bestFit="1" customWidth="1"/>
    <col min="4372" max="4374" width="6.85546875" style="1"/>
    <col min="4375" max="4375" width="10.140625" style="1" bestFit="1" customWidth="1"/>
    <col min="4376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3" width="11.42578125" style="1" customWidth="1"/>
    <col min="4614" max="4614" width="13.140625" style="1" customWidth="1"/>
    <col min="4615" max="4615" width="11.140625" style="1" customWidth="1"/>
    <col min="4616" max="4616" width="10.7109375" style="1" customWidth="1"/>
    <col min="4617" max="4617" width="9" style="1" customWidth="1"/>
    <col min="4618" max="4618" width="9.140625" style="1" customWidth="1"/>
    <col min="4619" max="4619" width="10" style="1" customWidth="1"/>
    <col min="4620" max="4620" width="1.7109375" style="1" customWidth="1"/>
    <col min="4621" max="4621" width="12.42578125" style="1" customWidth="1"/>
    <col min="4622" max="4622" width="2" style="1" customWidth="1"/>
    <col min="4623" max="4623" width="13.85546875" style="1" customWidth="1"/>
    <col min="4624" max="4624" width="3.85546875" style="1" customWidth="1"/>
    <col min="4625" max="4625" width="12.42578125" style="1" customWidth="1"/>
    <col min="4626" max="4626" width="12.5703125" style="1" customWidth="1"/>
    <col min="4627" max="4627" width="12.7109375" style="1" bestFit="1" customWidth="1"/>
    <col min="4628" max="4630" width="6.85546875" style="1"/>
    <col min="4631" max="4631" width="10.140625" style="1" bestFit="1" customWidth="1"/>
    <col min="4632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69" width="11.42578125" style="1" customWidth="1"/>
    <col min="4870" max="4870" width="13.140625" style="1" customWidth="1"/>
    <col min="4871" max="4871" width="11.140625" style="1" customWidth="1"/>
    <col min="4872" max="4872" width="10.7109375" style="1" customWidth="1"/>
    <col min="4873" max="4873" width="9" style="1" customWidth="1"/>
    <col min="4874" max="4874" width="9.140625" style="1" customWidth="1"/>
    <col min="4875" max="4875" width="10" style="1" customWidth="1"/>
    <col min="4876" max="4876" width="1.7109375" style="1" customWidth="1"/>
    <col min="4877" max="4877" width="12.42578125" style="1" customWidth="1"/>
    <col min="4878" max="4878" width="2" style="1" customWidth="1"/>
    <col min="4879" max="4879" width="13.85546875" style="1" customWidth="1"/>
    <col min="4880" max="4880" width="3.85546875" style="1" customWidth="1"/>
    <col min="4881" max="4881" width="12.42578125" style="1" customWidth="1"/>
    <col min="4882" max="4882" width="12.5703125" style="1" customWidth="1"/>
    <col min="4883" max="4883" width="12.7109375" style="1" bestFit="1" customWidth="1"/>
    <col min="4884" max="4886" width="6.85546875" style="1"/>
    <col min="4887" max="4887" width="10.140625" style="1" bestFit="1" customWidth="1"/>
    <col min="4888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5" width="11.42578125" style="1" customWidth="1"/>
    <col min="5126" max="5126" width="13.140625" style="1" customWidth="1"/>
    <col min="5127" max="5127" width="11.140625" style="1" customWidth="1"/>
    <col min="5128" max="5128" width="10.7109375" style="1" customWidth="1"/>
    <col min="5129" max="5129" width="9" style="1" customWidth="1"/>
    <col min="5130" max="5130" width="9.140625" style="1" customWidth="1"/>
    <col min="5131" max="5131" width="10" style="1" customWidth="1"/>
    <col min="5132" max="5132" width="1.7109375" style="1" customWidth="1"/>
    <col min="5133" max="5133" width="12.42578125" style="1" customWidth="1"/>
    <col min="5134" max="5134" width="2" style="1" customWidth="1"/>
    <col min="5135" max="5135" width="13.85546875" style="1" customWidth="1"/>
    <col min="5136" max="5136" width="3.85546875" style="1" customWidth="1"/>
    <col min="5137" max="5137" width="12.42578125" style="1" customWidth="1"/>
    <col min="5138" max="5138" width="12.5703125" style="1" customWidth="1"/>
    <col min="5139" max="5139" width="12.7109375" style="1" bestFit="1" customWidth="1"/>
    <col min="5140" max="5142" width="6.85546875" style="1"/>
    <col min="5143" max="5143" width="10.140625" style="1" bestFit="1" customWidth="1"/>
    <col min="5144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1" width="11.42578125" style="1" customWidth="1"/>
    <col min="5382" max="5382" width="13.140625" style="1" customWidth="1"/>
    <col min="5383" max="5383" width="11.140625" style="1" customWidth="1"/>
    <col min="5384" max="5384" width="10.7109375" style="1" customWidth="1"/>
    <col min="5385" max="5385" width="9" style="1" customWidth="1"/>
    <col min="5386" max="5386" width="9.140625" style="1" customWidth="1"/>
    <col min="5387" max="5387" width="10" style="1" customWidth="1"/>
    <col min="5388" max="5388" width="1.7109375" style="1" customWidth="1"/>
    <col min="5389" max="5389" width="12.42578125" style="1" customWidth="1"/>
    <col min="5390" max="5390" width="2" style="1" customWidth="1"/>
    <col min="5391" max="5391" width="13.85546875" style="1" customWidth="1"/>
    <col min="5392" max="5392" width="3.85546875" style="1" customWidth="1"/>
    <col min="5393" max="5393" width="12.42578125" style="1" customWidth="1"/>
    <col min="5394" max="5394" width="12.5703125" style="1" customWidth="1"/>
    <col min="5395" max="5395" width="12.7109375" style="1" bestFit="1" customWidth="1"/>
    <col min="5396" max="5398" width="6.85546875" style="1"/>
    <col min="5399" max="5399" width="10.140625" style="1" bestFit="1" customWidth="1"/>
    <col min="5400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7" width="11.42578125" style="1" customWidth="1"/>
    <col min="5638" max="5638" width="13.140625" style="1" customWidth="1"/>
    <col min="5639" max="5639" width="11.140625" style="1" customWidth="1"/>
    <col min="5640" max="5640" width="10.7109375" style="1" customWidth="1"/>
    <col min="5641" max="5641" width="9" style="1" customWidth="1"/>
    <col min="5642" max="5642" width="9.140625" style="1" customWidth="1"/>
    <col min="5643" max="5643" width="10" style="1" customWidth="1"/>
    <col min="5644" max="5644" width="1.7109375" style="1" customWidth="1"/>
    <col min="5645" max="5645" width="12.42578125" style="1" customWidth="1"/>
    <col min="5646" max="5646" width="2" style="1" customWidth="1"/>
    <col min="5647" max="5647" width="13.85546875" style="1" customWidth="1"/>
    <col min="5648" max="5648" width="3.85546875" style="1" customWidth="1"/>
    <col min="5649" max="5649" width="12.42578125" style="1" customWidth="1"/>
    <col min="5650" max="5650" width="12.5703125" style="1" customWidth="1"/>
    <col min="5651" max="5651" width="12.7109375" style="1" bestFit="1" customWidth="1"/>
    <col min="5652" max="5654" width="6.85546875" style="1"/>
    <col min="5655" max="5655" width="10.140625" style="1" bestFit="1" customWidth="1"/>
    <col min="5656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3" width="11.42578125" style="1" customWidth="1"/>
    <col min="5894" max="5894" width="13.140625" style="1" customWidth="1"/>
    <col min="5895" max="5895" width="11.140625" style="1" customWidth="1"/>
    <col min="5896" max="5896" width="10.7109375" style="1" customWidth="1"/>
    <col min="5897" max="5897" width="9" style="1" customWidth="1"/>
    <col min="5898" max="5898" width="9.140625" style="1" customWidth="1"/>
    <col min="5899" max="5899" width="10" style="1" customWidth="1"/>
    <col min="5900" max="5900" width="1.7109375" style="1" customWidth="1"/>
    <col min="5901" max="5901" width="12.42578125" style="1" customWidth="1"/>
    <col min="5902" max="5902" width="2" style="1" customWidth="1"/>
    <col min="5903" max="5903" width="13.85546875" style="1" customWidth="1"/>
    <col min="5904" max="5904" width="3.85546875" style="1" customWidth="1"/>
    <col min="5905" max="5905" width="12.42578125" style="1" customWidth="1"/>
    <col min="5906" max="5906" width="12.5703125" style="1" customWidth="1"/>
    <col min="5907" max="5907" width="12.7109375" style="1" bestFit="1" customWidth="1"/>
    <col min="5908" max="5910" width="6.85546875" style="1"/>
    <col min="5911" max="5911" width="10.140625" style="1" bestFit="1" customWidth="1"/>
    <col min="5912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49" width="11.42578125" style="1" customWidth="1"/>
    <col min="6150" max="6150" width="13.140625" style="1" customWidth="1"/>
    <col min="6151" max="6151" width="11.140625" style="1" customWidth="1"/>
    <col min="6152" max="6152" width="10.7109375" style="1" customWidth="1"/>
    <col min="6153" max="6153" width="9" style="1" customWidth="1"/>
    <col min="6154" max="6154" width="9.140625" style="1" customWidth="1"/>
    <col min="6155" max="6155" width="10" style="1" customWidth="1"/>
    <col min="6156" max="6156" width="1.7109375" style="1" customWidth="1"/>
    <col min="6157" max="6157" width="12.42578125" style="1" customWidth="1"/>
    <col min="6158" max="6158" width="2" style="1" customWidth="1"/>
    <col min="6159" max="6159" width="13.85546875" style="1" customWidth="1"/>
    <col min="6160" max="6160" width="3.85546875" style="1" customWidth="1"/>
    <col min="6161" max="6161" width="12.42578125" style="1" customWidth="1"/>
    <col min="6162" max="6162" width="12.5703125" style="1" customWidth="1"/>
    <col min="6163" max="6163" width="12.7109375" style="1" bestFit="1" customWidth="1"/>
    <col min="6164" max="6166" width="6.85546875" style="1"/>
    <col min="6167" max="6167" width="10.140625" style="1" bestFit="1" customWidth="1"/>
    <col min="6168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5" width="11.42578125" style="1" customWidth="1"/>
    <col min="6406" max="6406" width="13.140625" style="1" customWidth="1"/>
    <col min="6407" max="6407" width="11.140625" style="1" customWidth="1"/>
    <col min="6408" max="6408" width="10.7109375" style="1" customWidth="1"/>
    <col min="6409" max="6409" width="9" style="1" customWidth="1"/>
    <col min="6410" max="6410" width="9.140625" style="1" customWidth="1"/>
    <col min="6411" max="6411" width="10" style="1" customWidth="1"/>
    <col min="6412" max="6412" width="1.7109375" style="1" customWidth="1"/>
    <col min="6413" max="6413" width="12.42578125" style="1" customWidth="1"/>
    <col min="6414" max="6414" width="2" style="1" customWidth="1"/>
    <col min="6415" max="6415" width="13.85546875" style="1" customWidth="1"/>
    <col min="6416" max="6416" width="3.85546875" style="1" customWidth="1"/>
    <col min="6417" max="6417" width="12.42578125" style="1" customWidth="1"/>
    <col min="6418" max="6418" width="12.5703125" style="1" customWidth="1"/>
    <col min="6419" max="6419" width="12.7109375" style="1" bestFit="1" customWidth="1"/>
    <col min="6420" max="6422" width="6.85546875" style="1"/>
    <col min="6423" max="6423" width="10.140625" style="1" bestFit="1" customWidth="1"/>
    <col min="6424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1" width="11.42578125" style="1" customWidth="1"/>
    <col min="6662" max="6662" width="13.140625" style="1" customWidth="1"/>
    <col min="6663" max="6663" width="11.140625" style="1" customWidth="1"/>
    <col min="6664" max="6664" width="10.7109375" style="1" customWidth="1"/>
    <col min="6665" max="6665" width="9" style="1" customWidth="1"/>
    <col min="6666" max="6666" width="9.140625" style="1" customWidth="1"/>
    <col min="6667" max="6667" width="10" style="1" customWidth="1"/>
    <col min="6668" max="6668" width="1.7109375" style="1" customWidth="1"/>
    <col min="6669" max="6669" width="12.42578125" style="1" customWidth="1"/>
    <col min="6670" max="6670" width="2" style="1" customWidth="1"/>
    <col min="6671" max="6671" width="13.85546875" style="1" customWidth="1"/>
    <col min="6672" max="6672" width="3.85546875" style="1" customWidth="1"/>
    <col min="6673" max="6673" width="12.42578125" style="1" customWidth="1"/>
    <col min="6674" max="6674" width="12.5703125" style="1" customWidth="1"/>
    <col min="6675" max="6675" width="12.7109375" style="1" bestFit="1" customWidth="1"/>
    <col min="6676" max="6678" width="6.85546875" style="1"/>
    <col min="6679" max="6679" width="10.140625" style="1" bestFit="1" customWidth="1"/>
    <col min="6680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7" width="11.42578125" style="1" customWidth="1"/>
    <col min="6918" max="6918" width="13.140625" style="1" customWidth="1"/>
    <col min="6919" max="6919" width="11.140625" style="1" customWidth="1"/>
    <col min="6920" max="6920" width="10.7109375" style="1" customWidth="1"/>
    <col min="6921" max="6921" width="9" style="1" customWidth="1"/>
    <col min="6922" max="6922" width="9.140625" style="1" customWidth="1"/>
    <col min="6923" max="6923" width="10" style="1" customWidth="1"/>
    <col min="6924" max="6924" width="1.7109375" style="1" customWidth="1"/>
    <col min="6925" max="6925" width="12.42578125" style="1" customWidth="1"/>
    <col min="6926" max="6926" width="2" style="1" customWidth="1"/>
    <col min="6927" max="6927" width="13.85546875" style="1" customWidth="1"/>
    <col min="6928" max="6928" width="3.85546875" style="1" customWidth="1"/>
    <col min="6929" max="6929" width="12.42578125" style="1" customWidth="1"/>
    <col min="6930" max="6930" width="12.5703125" style="1" customWidth="1"/>
    <col min="6931" max="6931" width="12.7109375" style="1" bestFit="1" customWidth="1"/>
    <col min="6932" max="6934" width="6.85546875" style="1"/>
    <col min="6935" max="6935" width="10.140625" style="1" bestFit="1" customWidth="1"/>
    <col min="6936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3" width="11.42578125" style="1" customWidth="1"/>
    <col min="7174" max="7174" width="13.140625" style="1" customWidth="1"/>
    <col min="7175" max="7175" width="11.140625" style="1" customWidth="1"/>
    <col min="7176" max="7176" width="10.7109375" style="1" customWidth="1"/>
    <col min="7177" max="7177" width="9" style="1" customWidth="1"/>
    <col min="7178" max="7178" width="9.140625" style="1" customWidth="1"/>
    <col min="7179" max="7179" width="10" style="1" customWidth="1"/>
    <col min="7180" max="7180" width="1.7109375" style="1" customWidth="1"/>
    <col min="7181" max="7181" width="12.42578125" style="1" customWidth="1"/>
    <col min="7182" max="7182" width="2" style="1" customWidth="1"/>
    <col min="7183" max="7183" width="13.85546875" style="1" customWidth="1"/>
    <col min="7184" max="7184" width="3.85546875" style="1" customWidth="1"/>
    <col min="7185" max="7185" width="12.42578125" style="1" customWidth="1"/>
    <col min="7186" max="7186" width="12.5703125" style="1" customWidth="1"/>
    <col min="7187" max="7187" width="12.7109375" style="1" bestFit="1" customWidth="1"/>
    <col min="7188" max="7190" width="6.85546875" style="1"/>
    <col min="7191" max="7191" width="10.140625" style="1" bestFit="1" customWidth="1"/>
    <col min="7192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29" width="11.42578125" style="1" customWidth="1"/>
    <col min="7430" max="7430" width="13.140625" style="1" customWidth="1"/>
    <col min="7431" max="7431" width="11.140625" style="1" customWidth="1"/>
    <col min="7432" max="7432" width="10.7109375" style="1" customWidth="1"/>
    <col min="7433" max="7433" width="9" style="1" customWidth="1"/>
    <col min="7434" max="7434" width="9.140625" style="1" customWidth="1"/>
    <col min="7435" max="7435" width="10" style="1" customWidth="1"/>
    <col min="7436" max="7436" width="1.7109375" style="1" customWidth="1"/>
    <col min="7437" max="7437" width="12.42578125" style="1" customWidth="1"/>
    <col min="7438" max="7438" width="2" style="1" customWidth="1"/>
    <col min="7439" max="7439" width="13.85546875" style="1" customWidth="1"/>
    <col min="7440" max="7440" width="3.85546875" style="1" customWidth="1"/>
    <col min="7441" max="7441" width="12.42578125" style="1" customWidth="1"/>
    <col min="7442" max="7442" width="12.5703125" style="1" customWidth="1"/>
    <col min="7443" max="7443" width="12.7109375" style="1" bestFit="1" customWidth="1"/>
    <col min="7444" max="7446" width="6.85546875" style="1"/>
    <col min="7447" max="7447" width="10.140625" style="1" bestFit="1" customWidth="1"/>
    <col min="7448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5" width="11.42578125" style="1" customWidth="1"/>
    <col min="7686" max="7686" width="13.140625" style="1" customWidth="1"/>
    <col min="7687" max="7687" width="11.140625" style="1" customWidth="1"/>
    <col min="7688" max="7688" width="10.7109375" style="1" customWidth="1"/>
    <col min="7689" max="7689" width="9" style="1" customWidth="1"/>
    <col min="7690" max="7690" width="9.140625" style="1" customWidth="1"/>
    <col min="7691" max="7691" width="10" style="1" customWidth="1"/>
    <col min="7692" max="7692" width="1.7109375" style="1" customWidth="1"/>
    <col min="7693" max="7693" width="12.42578125" style="1" customWidth="1"/>
    <col min="7694" max="7694" width="2" style="1" customWidth="1"/>
    <col min="7695" max="7695" width="13.85546875" style="1" customWidth="1"/>
    <col min="7696" max="7696" width="3.85546875" style="1" customWidth="1"/>
    <col min="7697" max="7697" width="12.42578125" style="1" customWidth="1"/>
    <col min="7698" max="7698" width="12.5703125" style="1" customWidth="1"/>
    <col min="7699" max="7699" width="12.7109375" style="1" bestFit="1" customWidth="1"/>
    <col min="7700" max="7702" width="6.85546875" style="1"/>
    <col min="7703" max="7703" width="10.140625" style="1" bestFit="1" customWidth="1"/>
    <col min="7704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1" width="11.42578125" style="1" customWidth="1"/>
    <col min="7942" max="7942" width="13.140625" style="1" customWidth="1"/>
    <col min="7943" max="7943" width="11.140625" style="1" customWidth="1"/>
    <col min="7944" max="7944" width="10.7109375" style="1" customWidth="1"/>
    <col min="7945" max="7945" width="9" style="1" customWidth="1"/>
    <col min="7946" max="7946" width="9.140625" style="1" customWidth="1"/>
    <col min="7947" max="7947" width="10" style="1" customWidth="1"/>
    <col min="7948" max="7948" width="1.7109375" style="1" customWidth="1"/>
    <col min="7949" max="7949" width="12.42578125" style="1" customWidth="1"/>
    <col min="7950" max="7950" width="2" style="1" customWidth="1"/>
    <col min="7951" max="7951" width="13.85546875" style="1" customWidth="1"/>
    <col min="7952" max="7952" width="3.85546875" style="1" customWidth="1"/>
    <col min="7953" max="7953" width="12.42578125" style="1" customWidth="1"/>
    <col min="7954" max="7954" width="12.5703125" style="1" customWidth="1"/>
    <col min="7955" max="7955" width="12.7109375" style="1" bestFit="1" customWidth="1"/>
    <col min="7956" max="7958" width="6.85546875" style="1"/>
    <col min="7959" max="7959" width="10.140625" style="1" bestFit="1" customWidth="1"/>
    <col min="7960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7" width="11.42578125" style="1" customWidth="1"/>
    <col min="8198" max="8198" width="13.140625" style="1" customWidth="1"/>
    <col min="8199" max="8199" width="11.140625" style="1" customWidth="1"/>
    <col min="8200" max="8200" width="10.7109375" style="1" customWidth="1"/>
    <col min="8201" max="8201" width="9" style="1" customWidth="1"/>
    <col min="8202" max="8202" width="9.140625" style="1" customWidth="1"/>
    <col min="8203" max="8203" width="10" style="1" customWidth="1"/>
    <col min="8204" max="8204" width="1.7109375" style="1" customWidth="1"/>
    <col min="8205" max="8205" width="12.42578125" style="1" customWidth="1"/>
    <col min="8206" max="8206" width="2" style="1" customWidth="1"/>
    <col min="8207" max="8207" width="13.85546875" style="1" customWidth="1"/>
    <col min="8208" max="8208" width="3.85546875" style="1" customWidth="1"/>
    <col min="8209" max="8209" width="12.42578125" style="1" customWidth="1"/>
    <col min="8210" max="8210" width="12.5703125" style="1" customWidth="1"/>
    <col min="8211" max="8211" width="12.7109375" style="1" bestFit="1" customWidth="1"/>
    <col min="8212" max="8214" width="6.85546875" style="1"/>
    <col min="8215" max="8215" width="10.140625" style="1" bestFit="1" customWidth="1"/>
    <col min="8216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3" width="11.42578125" style="1" customWidth="1"/>
    <col min="8454" max="8454" width="13.140625" style="1" customWidth="1"/>
    <col min="8455" max="8455" width="11.140625" style="1" customWidth="1"/>
    <col min="8456" max="8456" width="10.7109375" style="1" customWidth="1"/>
    <col min="8457" max="8457" width="9" style="1" customWidth="1"/>
    <col min="8458" max="8458" width="9.140625" style="1" customWidth="1"/>
    <col min="8459" max="8459" width="10" style="1" customWidth="1"/>
    <col min="8460" max="8460" width="1.7109375" style="1" customWidth="1"/>
    <col min="8461" max="8461" width="12.42578125" style="1" customWidth="1"/>
    <col min="8462" max="8462" width="2" style="1" customWidth="1"/>
    <col min="8463" max="8463" width="13.85546875" style="1" customWidth="1"/>
    <col min="8464" max="8464" width="3.85546875" style="1" customWidth="1"/>
    <col min="8465" max="8465" width="12.42578125" style="1" customWidth="1"/>
    <col min="8466" max="8466" width="12.5703125" style="1" customWidth="1"/>
    <col min="8467" max="8467" width="12.7109375" style="1" bestFit="1" customWidth="1"/>
    <col min="8468" max="8470" width="6.85546875" style="1"/>
    <col min="8471" max="8471" width="10.140625" style="1" bestFit="1" customWidth="1"/>
    <col min="8472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09" width="11.42578125" style="1" customWidth="1"/>
    <col min="8710" max="8710" width="13.140625" style="1" customWidth="1"/>
    <col min="8711" max="8711" width="11.140625" style="1" customWidth="1"/>
    <col min="8712" max="8712" width="10.7109375" style="1" customWidth="1"/>
    <col min="8713" max="8713" width="9" style="1" customWidth="1"/>
    <col min="8714" max="8714" width="9.140625" style="1" customWidth="1"/>
    <col min="8715" max="8715" width="10" style="1" customWidth="1"/>
    <col min="8716" max="8716" width="1.7109375" style="1" customWidth="1"/>
    <col min="8717" max="8717" width="12.42578125" style="1" customWidth="1"/>
    <col min="8718" max="8718" width="2" style="1" customWidth="1"/>
    <col min="8719" max="8719" width="13.85546875" style="1" customWidth="1"/>
    <col min="8720" max="8720" width="3.85546875" style="1" customWidth="1"/>
    <col min="8721" max="8721" width="12.42578125" style="1" customWidth="1"/>
    <col min="8722" max="8722" width="12.5703125" style="1" customWidth="1"/>
    <col min="8723" max="8723" width="12.7109375" style="1" bestFit="1" customWidth="1"/>
    <col min="8724" max="8726" width="6.85546875" style="1"/>
    <col min="8727" max="8727" width="10.140625" style="1" bestFit="1" customWidth="1"/>
    <col min="8728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5" width="11.42578125" style="1" customWidth="1"/>
    <col min="8966" max="8966" width="13.140625" style="1" customWidth="1"/>
    <col min="8967" max="8967" width="11.140625" style="1" customWidth="1"/>
    <col min="8968" max="8968" width="10.7109375" style="1" customWidth="1"/>
    <col min="8969" max="8969" width="9" style="1" customWidth="1"/>
    <col min="8970" max="8970" width="9.140625" style="1" customWidth="1"/>
    <col min="8971" max="8971" width="10" style="1" customWidth="1"/>
    <col min="8972" max="8972" width="1.7109375" style="1" customWidth="1"/>
    <col min="8973" max="8973" width="12.42578125" style="1" customWidth="1"/>
    <col min="8974" max="8974" width="2" style="1" customWidth="1"/>
    <col min="8975" max="8975" width="13.85546875" style="1" customWidth="1"/>
    <col min="8976" max="8976" width="3.85546875" style="1" customWidth="1"/>
    <col min="8977" max="8977" width="12.42578125" style="1" customWidth="1"/>
    <col min="8978" max="8978" width="12.5703125" style="1" customWidth="1"/>
    <col min="8979" max="8979" width="12.7109375" style="1" bestFit="1" customWidth="1"/>
    <col min="8980" max="8982" width="6.85546875" style="1"/>
    <col min="8983" max="8983" width="10.140625" style="1" bestFit="1" customWidth="1"/>
    <col min="8984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1" width="11.42578125" style="1" customWidth="1"/>
    <col min="9222" max="9222" width="13.140625" style="1" customWidth="1"/>
    <col min="9223" max="9223" width="11.140625" style="1" customWidth="1"/>
    <col min="9224" max="9224" width="10.7109375" style="1" customWidth="1"/>
    <col min="9225" max="9225" width="9" style="1" customWidth="1"/>
    <col min="9226" max="9226" width="9.140625" style="1" customWidth="1"/>
    <col min="9227" max="9227" width="10" style="1" customWidth="1"/>
    <col min="9228" max="9228" width="1.7109375" style="1" customWidth="1"/>
    <col min="9229" max="9229" width="12.42578125" style="1" customWidth="1"/>
    <col min="9230" max="9230" width="2" style="1" customWidth="1"/>
    <col min="9231" max="9231" width="13.85546875" style="1" customWidth="1"/>
    <col min="9232" max="9232" width="3.85546875" style="1" customWidth="1"/>
    <col min="9233" max="9233" width="12.42578125" style="1" customWidth="1"/>
    <col min="9234" max="9234" width="12.5703125" style="1" customWidth="1"/>
    <col min="9235" max="9235" width="12.7109375" style="1" bestFit="1" customWidth="1"/>
    <col min="9236" max="9238" width="6.85546875" style="1"/>
    <col min="9239" max="9239" width="10.140625" style="1" bestFit="1" customWidth="1"/>
    <col min="9240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7" width="11.42578125" style="1" customWidth="1"/>
    <col min="9478" max="9478" width="13.140625" style="1" customWidth="1"/>
    <col min="9479" max="9479" width="11.140625" style="1" customWidth="1"/>
    <col min="9480" max="9480" width="10.7109375" style="1" customWidth="1"/>
    <col min="9481" max="9481" width="9" style="1" customWidth="1"/>
    <col min="9482" max="9482" width="9.140625" style="1" customWidth="1"/>
    <col min="9483" max="9483" width="10" style="1" customWidth="1"/>
    <col min="9484" max="9484" width="1.7109375" style="1" customWidth="1"/>
    <col min="9485" max="9485" width="12.42578125" style="1" customWidth="1"/>
    <col min="9486" max="9486" width="2" style="1" customWidth="1"/>
    <col min="9487" max="9487" width="13.85546875" style="1" customWidth="1"/>
    <col min="9488" max="9488" width="3.85546875" style="1" customWidth="1"/>
    <col min="9489" max="9489" width="12.42578125" style="1" customWidth="1"/>
    <col min="9490" max="9490" width="12.5703125" style="1" customWidth="1"/>
    <col min="9491" max="9491" width="12.7109375" style="1" bestFit="1" customWidth="1"/>
    <col min="9492" max="9494" width="6.85546875" style="1"/>
    <col min="9495" max="9495" width="10.140625" style="1" bestFit="1" customWidth="1"/>
    <col min="9496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3" width="11.42578125" style="1" customWidth="1"/>
    <col min="9734" max="9734" width="13.140625" style="1" customWidth="1"/>
    <col min="9735" max="9735" width="11.140625" style="1" customWidth="1"/>
    <col min="9736" max="9736" width="10.7109375" style="1" customWidth="1"/>
    <col min="9737" max="9737" width="9" style="1" customWidth="1"/>
    <col min="9738" max="9738" width="9.140625" style="1" customWidth="1"/>
    <col min="9739" max="9739" width="10" style="1" customWidth="1"/>
    <col min="9740" max="9740" width="1.7109375" style="1" customWidth="1"/>
    <col min="9741" max="9741" width="12.42578125" style="1" customWidth="1"/>
    <col min="9742" max="9742" width="2" style="1" customWidth="1"/>
    <col min="9743" max="9743" width="13.85546875" style="1" customWidth="1"/>
    <col min="9744" max="9744" width="3.85546875" style="1" customWidth="1"/>
    <col min="9745" max="9745" width="12.42578125" style="1" customWidth="1"/>
    <col min="9746" max="9746" width="12.5703125" style="1" customWidth="1"/>
    <col min="9747" max="9747" width="12.7109375" style="1" bestFit="1" customWidth="1"/>
    <col min="9748" max="9750" width="6.85546875" style="1"/>
    <col min="9751" max="9751" width="10.140625" style="1" bestFit="1" customWidth="1"/>
    <col min="9752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89" width="11.42578125" style="1" customWidth="1"/>
    <col min="9990" max="9990" width="13.140625" style="1" customWidth="1"/>
    <col min="9991" max="9991" width="11.140625" style="1" customWidth="1"/>
    <col min="9992" max="9992" width="10.7109375" style="1" customWidth="1"/>
    <col min="9993" max="9993" width="9" style="1" customWidth="1"/>
    <col min="9994" max="9994" width="9.140625" style="1" customWidth="1"/>
    <col min="9995" max="9995" width="10" style="1" customWidth="1"/>
    <col min="9996" max="9996" width="1.7109375" style="1" customWidth="1"/>
    <col min="9997" max="9997" width="12.42578125" style="1" customWidth="1"/>
    <col min="9998" max="9998" width="2" style="1" customWidth="1"/>
    <col min="9999" max="9999" width="13.85546875" style="1" customWidth="1"/>
    <col min="10000" max="10000" width="3.85546875" style="1" customWidth="1"/>
    <col min="10001" max="10001" width="12.42578125" style="1" customWidth="1"/>
    <col min="10002" max="10002" width="12.5703125" style="1" customWidth="1"/>
    <col min="10003" max="10003" width="12.7109375" style="1" bestFit="1" customWidth="1"/>
    <col min="10004" max="10006" width="6.85546875" style="1"/>
    <col min="10007" max="10007" width="10.140625" style="1" bestFit="1" customWidth="1"/>
    <col min="10008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5" width="11.42578125" style="1" customWidth="1"/>
    <col min="10246" max="10246" width="13.140625" style="1" customWidth="1"/>
    <col min="10247" max="10247" width="11.140625" style="1" customWidth="1"/>
    <col min="10248" max="10248" width="10.7109375" style="1" customWidth="1"/>
    <col min="10249" max="10249" width="9" style="1" customWidth="1"/>
    <col min="10250" max="10250" width="9.140625" style="1" customWidth="1"/>
    <col min="10251" max="10251" width="10" style="1" customWidth="1"/>
    <col min="10252" max="10252" width="1.7109375" style="1" customWidth="1"/>
    <col min="10253" max="10253" width="12.42578125" style="1" customWidth="1"/>
    <col min="10254" max="10254" width="2" style="1" customWidth="1"/>
    <col min="10255" max="10255" width="13.85546875" style="1" customWidth="1"/>
    <col min="10256" max="10256" width="3.85546875" style="1" customWidth="1"/>
    <col min="10257" max="10257" width="12.42578125" style="1" customWidth="1"/>
    <col min="10258" max="10258" width="12.5703125" style="1" customWidth="1"/>
    <col min="10259" max="10259" width="12.7109375" style="1" bestFit="1" customWidth="1"/>
    <col min="10260" max="10262" width="6.85546875" style="1"/>
    <col min="10263" max="10263" width="10.140625" style="1" bestFit="1" customWidth="1"/>
    <col min="10264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1" width="11.42578125" style="1" customWidth="1"/>
    <col min="10502" max="10502" width="13.140625" style="1" customWidth="1"/>
    <col min="10503" max="10503" width="11.140625" style="1" customWidth="1"/>
    <col min="10504" max="10504" width="10.7109375" style="1" customWidth="1"/>
    <col min="10505" max="10505" width="9" style="1" customWidth="1"/>
    <col min="10506" max="10506" width="9.140625" style="1" customWidth="1"/>
    <col min="10507" max="10507" width="10" style="1" customWidth="1"/>
    <col min="10508" max="10508" width="1.7109375" style="1" customWidth="1"/>
    <col min="10509" max="10509" width="12.42578125" style="1" customWidth="1"/>
    <col min="10510" max="10510" width="2" style="1" customWidth="1"/>
    <col min="10511" max="10511" width="13.85546875" style="1" customWidth="1"/>
    <col min="10512" max="10512" width="3.85546875" style="1" customWidth="1"/>
    <col min="10513" max="10513" width="12.42578125" style="1" customWidth="1"/>
    <col min="10514" max="10514" width="12.5703125" style="1" customWidth="1"/>
    <col min="10515" max="10515" width="12.7109375" style="1" bestFit="1" customWidth="1"/>
    <col min="10516" max="10518" width="6.85546875" style="1"/>
    <col min="10519" max="10519" width="10.140625" style="1" bestFit="1" customWidth="1"/>
    <col min="10520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7" width="11.42578125" style="1" customWidth="1"/>
    <col min="10758" max="10758" width="13.140625" style="1" customWidth="1"/>
    <col min="10759" max="10759" width="11.140625" style="1" customWidth="1"/>
    <col min="10760" max="10760" width="10.7109375" style="1" customWidth="1"/>
    <col min="10761" max="10761" width="9" style="1" customWidth="1"/>
    <col min="10762" max="10762" width="9.140625" style="1" customWidth="1"/>
    <col min="10763" max="10763" width="10" style="1" customWidth="1"/>
    <col min="10764" max="10764" width="1.7109375" style="1" customWidth="1"/>
    <col min="10765" max="10765" width="12.42578125" style="1" customWidth="1"/>
    <col min="10766" max="10766" width="2" style="1" customWidth="1"/>
    <col min="10767" max="10767" width="13.85546875" style="1" customWidth="1"/>
    <col min="10768" max="10768" width="3.85546875" style="1" customWidth="1"/>
    <col min="10769" max="10769" width="12.42578125" style="1" customWidth="1"/>
    <col min="10770" max="10770" width="12.5703125" style="1" customWidth="1"/>
    <col min="10771" max="10771" width="12.7109375" style="1" bestFit="1" customWidth="1"/>
    <col min="10772" max="10774" width="6.85546875" style="1"/>
    <col min="10775" max="10775" width="10.140625" style="1" bestFit="1" customWidth="1"/>
    <col min="10776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3" width="11.42578125" style="1" customWidth="1"/>
    <col min="11014" max="11014" width="13.140625" style="1" customWidth="1"/>
    <col min="11015" max="11015" width="11.140625" style="1" customWidth="1"/>
    <col min="11016" max="11016" width="10.7109375" style="1" customWidth="1"/>
    <col min="11017" max="11017" width="9" style="1" customWidth="1"/>
    <col min="11018" max="11018" width="9.140625" style="1" customWidth="1"/>
    <col min="11019" max="11019" width="10" style="1" customWidth="1"/>
    <col min="11020" max="11020" width="1.7109375" style="1" customWidth="1"/>
    <col min="11021" max="11021" width="12.42578125" style="1" customWidth="1"/>
    <col min="11022" max="11022" width="2" style="1" customWidth="1"/>
    <col min="11023" max="11023" width="13.85546875" style="1" customWidth="1"/>
    <col min="11024" max="11024" width="3.85546875" style="1" customWidth="1"/>
    <col min="11025" max="11025" width="12.42578125" style="1" customWidth="1"/>
    <col min="11026" max="11026" width="12.5703125" style="1" customWidth="1"/>
    <col min="11027" max="11027" width="12.7109375" style="1" bestFit="1" customWidth="1"/>
    <col min="11028" max="11030" width="6.85546875" style="1"/>
    <col min="11031" max="11031" width="10.140625" style="1" bestFit="1" customWidth="1"/>
    <col min="11032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69" width="11.42578125" style="1" customWidth="1"/>
    <col min="11270" max="11270" width="13.140625" style="1" customWidth="1"/>
    <col min="11271" max="11271" width="11.140625" style="1" customWidth="1"/>
    <col min="11272" max="11272" width="10.7109375" style="1" customWidth="1"/>
    <col min="11273" max="11273" width="9" style="1" customWidth="1"/>
    <col min="11274" max="11274" width="9.140625" style="1" customWidth="1"/>
    <col min="11275" max="11275" width="10" style="1" customWidth="1"/>
    <col min="11276" max="11276" width="1.7109375" style="1" customWidth="1"/>
    <col min="11277" max="11277" width="12.42578125" style="1" customWidth="1"/>
    <col min="11278" max="11278" width="2" style="1" customWidth="1"/>
    <col min="11279" max="11279" width="13.85546875" style="1" customWidth="1"/>
    <col min="11280" max="11280" width="3.85546875" style="1" customWidth="1"/>
    <col min="11281" max="11281" width="12.42578125" style="1" customWidth="1"/>
    <col min="11282" max="11282" width="12.5703125" style="1" customWidth="1"/>
    <col min="11283" max="11283" width="12.7109375" style="1" bestFit="1" customWidth="1"/>
    <col min="11284" max="11286" width="6.85546875" style="1"/>
    <col min="11287" max="11287" width="10.140625" style="1" bestFit="1" customWidth="1"/>
    <col min="11288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5" width="11.42578125" style="1" customWidth="1"/>
    <col min="11526" max="11526" width="13.140625" style="1" customWidth="1"/>
    <col min="11527" max="11527" width="11.140625" style="1" customWidth="1"/>
    <col min="11528" max="11528" width="10.7109375" style="1" customWidth="1"/>
    <col min="11529" max="11529" width="9" style="1" customWidth="1"/>
    <col min="11530" max="11530" width="9.140625" style="1" customWidth="1"/>
    <col min="11531" max="11531" width="10" style="1" customWidth="1"/>
    <col min="11532" max="11532" width="1.7109375" style="1" customWidth="1"/>
    <col min="11533" max="11533" width="12.42578125" style="1" customWidth="1"/>
    <col min="11534" max="11534" width="2" style="1" customWidth="1"/>
    <col min="11535" max="11535" width="13.85546875" style="1" customWidth="1"/>
    <col min="11536" max="11536" width="3.85546875" style="1" customWidth="1"/>
    <col min="11537" max="11537" width="12.42578125" style="1" customWidth="1"/>
    <col min="11538" max="11538" width="12.5703125" style="1" customWidth="1"/>
    <col min="11539" max="11539" width="12.7109375" style="1" bestFit="1" customWidth="1"/>
    <col min="11540" max="11542" width="6.85546875" style="1"/>
    <col min="11543" max="11543" width="10.140625" style="1" bestFit="1" customWidth="1"/>
    <col min="11544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1" width="11.42578125" style="1" customWidth="1"/>
    <col min="11782" max="11782" width="13.140625" style="1" customWidth="1"/>
    <col min="11783" max="11783" width="11.140625" style="1" customWidth="1"/>
    <col min="11784" max="11784" width="10.7109375" style="1" customWidth="1"/>
    <col min="11785" max="11785" width="9" style="1" customWidth="1"/>
    <col min="11786" max="11786" width="9.140625" style="1" customWidth="1"/>
    <col min="11787" max="11787" width="10" style="1" customWidth="1"/>
    <col min="11788" max="11788" width="1.7109375" style="1" customWidth="1"/>
    <col min="11789" max="11789" width="12.42578125" style="1" customWidth="1"/>
    <col min="11790" max="11790" width="2" style="1" customWidth="1"/>
    <col min="11791" max="11791" width="13.85546875" style="1" customWidth="1"/>
    <col min="11792" max="11792" width="3.85546875" style="1" customWidth="1"/>
    <col min="11793" max="11793" width="12.42578125" style="1" customWidth="1"/>
    <col min="11794" max="11794" width="12.5703125" style="1" customWidth="1"/>
    <col min="11795" max="11795" width="12.7109375" style="1" bestFit="1" customWidth="1"/>
    <col min="11796" max="11798" width="6.85546875" style="1"/>
    <col min="11799" max="11799" width="10.140625" style="1" bestFit="1" customWidth="1"/>
    <col min="11800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7" width="11.42578125" style="1" customWidth="1"/>
    <col min="12038" max="12038" width="13.140625" style="1" customWidth="1"/>
    <col min="12039" max="12039" width="11.140625" style="1" customWidth="1"/>
    <col min="12040" max="12040" width="10.7109375" style="1" customWidth="1"/>
    <col min="12041" max="12041" width="9" style="1" customWidth="1"/>
    <col min="12042" max="12042" width="9.140625" style="1" customWidth="1"/>
    <col min="12043" max="12043" width="10" style="1" customWidth="1"/>
    <col min="12044" max="12044" width="1.7109375" style="1" customWidth="1"/>
    <col min="12045" max="12045" width="12.42578125" style="1" customWidth="1"/>
    <col min="12046" max="12046" width="2" style="1" customWidth="1"/>
    <col min="12047" max="12047" width="13.85546875" style="1" customWidth="1"/>
    <col min="12048" max="12048" width="3.85546875" style="1" customWidth="1"/>
    <col min="12049" max="12049" width="12.42578125" style="1" customWidth="1"/>
    <col min="12050" max="12050" width="12.5703125" style="1" customWidth="1"/>
    <col min="12051" max="12051" width="12.7109375" style="1" bestFit="1" customWidth="1"/>
    <col min="12052" max="12054" width="6.85546875" style="1"/>
    <col min="12055" max="12055" width="10.140625" style="1" bestFit="1" customWidth="1"/>
    <col min="12056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3" width="11.42578125" style="1" customWidth="1"/>
    <col min="12294" max="12294" width="13.140625" style="1" customWidth="1"/>
    <col min="12295" max="12295" width="11.140625" style="1" customWidth="1"/>
    <col min="12296" max="12296" width="10.7109375" style="1" customWidth="1"/>
    <col min="12297" max="12297" width="9" style="1" customWidth="1"/>
    <col min="12298" max="12298" width="9.140625" style="1" customWidth="1"/>
    <col min="12299" max="12299" width="10" style="1" customWidth="1"/>
    <col min="12300" max="12300" width="1.7109375" style="1" customWidth="1"/>
    <col min="12301" max="12301" width="12.42578125" style="1" customWidth="1"/>
    <col min="12302" max="12302" width="2" style="1" customWidth="1"/>
    <col min="12303" max="12303" width="13.85546875" style="1" customWidth="1"/>
    <col min="12304" max="12304" width="3.85546875" style="1" customWidth="1"/>
    <col min="12305" max="12305" width="12.42578125" style="1" customWidth="1"/>
    <col min="12306" max="12306" width="12.5703125" style="1" customWidth="1"/>
    <col min="12307" max="12307" width="12.7109375" style="1" bestFit="1" customWidth="1"/>
    <col min="12308" max="12310" width="6.85546875" style="1"/>
    <col min="12311" max="12311" width="10.140625" style="1" bestFit="1" customWidth="1"/>
    <col min="12312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49" width="11.42578125" style="1" customWidth="1"/>
    <col min="12550" max="12550" width="13.140625" style="1" customWidth="1"/>
    <col min="12551" max="12551" width="11.140625" style="1" customWidth="1"/>
    <col min="12552" max="12552" width="10.7109375" style="1" customWidth="1"/>
    <col min="12553" max="12553" width="9" style="1" customWidth="1"/>
    <col min="12554" max="12554" width="9.140625" style="1" customWidth="1"/>
    <col min="12555" max="12555" width="10" style="1" customWidth="1"/>
    <col min="12556" max="12556" width="1.7109375" style="1" customWidth="1"/>
    <col min="12557" max="12557" width="12.42578125" style="1" customWidth="1"/>
    <col min="12558" max="12558" width="2" style="1" customWidth="1"/>
    <col min="12559" max="12559" width="13.85546875" style="1" customWidth="1"/>
    <col min="12560" max="12560" width="3.85546875" style="1" customWidth="1"/>
    <col min="12561" max="12561" width="12.42578125" style="1" customWidth="1"/>
    <col min="12562" max="12562" width="12.5703125" style="1" customWidth="1"/>
    <col min="12563" max="12563" width="12.7109375" style="1" bestFit="1" customWidth="1"/>
    <col min="12564" max="12566" width="6.85546875" style="1"/>
    <col min="12567" max="12567" width="10.140625" style="1" bestFit="1" customWidth="1"/>
    <col min="12568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5" width="11.42578125" style="1" customWidth="1"/>
    <col min="12806" max="12806" width="13.140625" style="1" customWidth="1"/>
    <col min="12807" max="12807" width="11.140625" style="1" customWidth="1"/>
    <col min="12808" max="12808" width="10.7109375" style="1" customWidth="1"/>
    <col min="12809" max="12809" width="9" style="1" customWidth="1"/>
    <col min="12810" max="12810" width="9.140625" style="1" customWidth="1"/>
    <col min="12811" max="12811" width="10" style="1" customWidth="1"/>
    <col min="12812" max="12812" width="1.7109375" style="1" customWidth="1"/>
    <col min="12813" max="12813" width="12.42578125" style="1" customWidth="1"/>
    <col min="12814" max="12814" width="2" style="1" customWidth="1"/>
    <col min="12815" max="12815" width="13.85546875" style="1" customWidth="1"/>
    <col min="12816" max="12816" width="3.85546875" style="1" customWidth="1"/>
    <col min="12817" max="12817" width="12.42578125" style="1" customWidth="1"/>
    <col min="12818" max="12818" width="12.5703125" style="1" customWidth="1"/>
    <col min="12819" max="12819" width="12.7109375" style="1" bestFit="1" customWidth="1"/>
    <col min="12820" max="12822" width="6.85546875" style="1"/>
    <col min="12823" max="12823" width="10.140625" style="1" bestFit="1" customWidth="1"/>
    <col min="12824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1" width="11.42578125" style="1" customWidth="1"/>
    <col min="13062" max="13062" width="13.140625" style="1" customWidth="1"/>
    <col min="13063" max="13063" width="11.140625" style="1" customWidth="1"/>
    <col min="13064" max="13064" width="10.7109375" style="1" customWidth="1"/>
    <col min="13065" max="13065" width="9" style="1" customWidth="1"/>
    <col min="13066" max="13066" width="9.140625" style="1" customWidth="1"/>
    <col min="13067" max="13067" width="10" style="1" customWidth="1"/>
    <col min="13068" max="13068" width="1.7109375" style="1" customWidth="1"/>
    <col min="13069" max="13069" width="12.42578125" style="1" customWidth="1"/>
    <col min="13070" max="13070" width="2" style="1" customWidth="1"/>
    <col min="13071" max="13071" width="13.85546875" style="1" customWidth="1"/>
    <col min="13072" max="13072" width="3.85546875" style="1" customWidth="1"/>
    <col min="13073" max="13073" width="12.42578125" style="1" customWidth="1"/>
    <col min="13074" max="13074" width="12.5703125" style="1" customWidth="1"/>
    <col min="13075" max="13075" width="12.7109375" style="1" bestFit="1" customWidth="1"/>
    <col min="13076" max="13078" width="6.85546875" style="1"/>
    <col min="13079" max="13079" width="10.140625" style="1" bestFit="1" customWidth="1"/>
    <col min="13080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7" width="11.42578125" style="1" customWidth="1"/>
    <col min="13318" max="13318" width="13.140625" style="1" customWidth="1"/>
    <col min="13319" max="13319" width="11.140625" style="1" customWidth="1"/>
    <col min="13320" max="13320" width="10.7109375" style="1" customWidth="1"/>
    <col min="13321" max="13321" width="9" style="1" customWidth="1"/>
    <col min="13322" max="13322" width="9.140625" style="1" customWidth="1"/>
    <col min="13323" max="13323" width="10" style="1" customWidth="1"/>
    <col min="13324" max="13324" width="1.7109375" style="1" customWidth="1"/>
    <col min="13325" max="13325" width="12.42578125" style="1" customWidth="1"/>
    <col min="13326" max="13326" width="2" style="1" customWidth="1"/>
    <col min="13327" max="13327" width="13.85546875" style="1" customWidth="1"/>
    <col min="13328" max="13328" width="3.85546875" style="1" customWidth="1"/>
    <col min="13329" max="13329" width="12.42578125" style="1" customWidth="1"/>
    <col min="13330" max="13330" width="12.5703125" style="1" customWidth="1"/>
    <col min="13331" max="13331" width="12.7109375" style="1" bestFit="1" customWidth="1"/>
    <col min="13332" max="13334" width="6.85546875" style="1"/>
    <col min="13335" max="13335" width="10.140625" style="1" bestFit="1" customWidth="1"/>
    <col min="13336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3" width="11.42578125" style="1" customWidth="1"/>
    <col min="13574" max="13574" width="13.140625" style="1" customWidth="1"/>
    <col min="13575" max="13575" width="11.140625" style="1" customWidth="1"/>
    <col min="13576" max="13576" width="10.7109375" style="1" customWidth="1"/>
    <col min="13577" max="13577" width="9" style="1" customWidth="1"/>
    <col min="13578" max="13578" width="9.140625" style="1" customWidth="1"/>
    <col min="13579" max="13579" width="10" style="1" customWidth="1"/>
    <col min="13580" max="13580" width="1.7109375" style="1" customWidth="1"/>
    <col min="13581" max="13581" width="12.42578125" style="1" customWidth="1"/>
    <col min="13582" max="13582" width="2" style="1" customWidth="1"/>
    <col min="13583" max="13583" width="13.85546875" style="1" customWidth="1"/>
    <col min="13584" max="13584" width="3.85546875" style="1" customWidth="1"/>
    <col min="13585" max="13585" width="12.42578125" style="1" customWidth="1"/>
    <col min="13586" max="13586" width="12.5703125" style="1" customWidth="1"/>
    <col min="13587" max="13587" width="12.7109375" style="1" bestFit="1" customWidth="1"/>
    <col min="13588" max="13590" width="6.85546875" style="1"/>
    <col min="13591" max="13591" width="10.140625" style="1" bestFit="1" customWidth="1"/>
    <col min="13592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29" width="11.42578125" style="1" customWidth="1"/>
    <col min="13830" max="13830" width="13.140625" style="1" customWidth="1"/>
    <col min="13831" max="13831" width="11.140625" style="1" customWidth="1"/>
    <col min="13832" max="13832" width="10.7109375" style="1" customWidth="1"/>
    <col min="13833" max="13833" width="9" style="1" customWidth="1"/>
    <col min="13834" max="13834" width="9.140625" style="1" customWidth="1"/>
    <col min="13835" max="13835" width="10" style="1" customWidth="1"/>
    <col min="13836" max="13836" width="1.7109375" style="1" customWidth="1"/>
    <col min="13837" max="13837" width="12.42578125" style="1" customWidth="1"/>
    <col min="13838" max="13838" width="2" style="1" customWidth="1"/>
    <col min="13839" max="13839" width="13.85546875" style="1" customWidth="1"/>
    <col min="13840" max="13840" width="3.85546875" style="1" customWidth="1"/>
    <col min="13841" max="13841" width="12.42578125" style="1" customWidth="1"/>
    <col min="13842" max="13842" width="12.5703125" style="1" customWidth="1"/>
    <col min="13843" max="13843" width="12.7109375" style="1" bestFit="1" customWidth="1"/>
    <col min="13844" max="13846" width="6.85546875" style="1"/>
    <col min="13847" max="13847" width="10.140625" style="1" bestFit="1" customWidth="1"/>
    <col min="13848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5" width="11.42578125" style="1" customWidth="1"/>
    <col min="14086" max="14086" width="13.140625" style="1" customWidth="1"/>
    <col min="14087" max="14087" width="11.140625" style="1" customWidth="1"/>
    <col min="14088" max="14088" width="10.7109375" style="1" customWidth="1"/>
    <col min="14089" max="14089" width="9" style="1" customWidth="1"/>
    <col min="14090" max="14090" width="9.140625" style="1" customWidth="1"/>
    <col min="14091" max="14091" width="10" style="1" customWidth="1"/>
    <col min="14092" max="14092" width="1.7109375" style="1" customWidth="1"/>
    <col min="14093" max="14093" width="12.42578125" style="1" customWidth="1"/>
    <col min="14094" max="14094" width="2" style="1" customWidth="1"/>
    <col min="14095" max="14095" width="13.85546875" style="1" customWidth="1"/>
    <col min="14096" max="14096" width="3.85546875" style="1" customWidth="1"/>
    <col min="14097" max="14097" width="12.42578125" style="1" customWidth="1"/>
    <col min="14098" max="14098" width="12.5703125" style="1" customWidth="1"/>
    <col min="14099" max="14099" width="12.7109375" style="1" bestFit="1" customWidth="1"/>
    <col min="14100" max="14102" width="6.85546875" style="1"/>
    <col min="14103" max="14103" width="10.140625" style="1" bestFit="1" customWidth="1"/>
    <col min="14104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1" width="11.42578125" style="1" customWidth="1"/>
    <col min="14342" max="14342" width="13.140625" style="1" customWidth="1"/>
    <col min="14343" max="14343" width="11.140625" style="1" customWidth="1"/>
    <col min="14344" max="14344" width="10.7109375" style="1" customWidth="1"/>
    <col min="14345" max="14345" width="9" style="1" customWidth="1"/>
    <col min="14346" max="14346" width="9.140625" style="1" customWidth="1"/>
    <col min="14347" max="14347" width="10" style="1" customWidth="1"/>
    <col min="14348" max="14348" width="1.7109375" style="1" customWidth="1"/>
    <col min="14349" max="14349" width="12.42578125" style="1" customWidth="1"/>
    <col min="14350" max="14350" width="2" style="1" customWidth="1"/>
    <col min="14351" max="14351" width="13.85546875" style="1" customWidth="1"/>
    <col min="14352" max="14352" width="3.85546875" style="1" customWidth="1"/>
    <col min="14353" max="14353" width="12.42578125" style="1" customWidth="1"/>
    <col min="14354" max="14354" width="12.5703125" style="1" customWidth="1"/>
    <col min="14355" max="14355" width="12.7109375" style="1" bestFit="1" customWidth="1"/>
    <col min="14356" max="14358" width="6.85546875" style="1"/>
    <col min="14359" max="14359" width="10.140625" style="1" bestFit="1" customWidth="1"/>
    <col min="14360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7" width="11.42578125" style="1" customWidth="1"/>
    <col min="14598" max="14598" width="13.140625" style="1" customWidth="1"/>
    <col min="14599" max="14599" width="11.140625" style="1" customWidth="1"/>
    <col min="14600" max="14600" width="10.7109375" style="1" customWidth="1"/>
    <col min="14601" max="14601" width="9" style="1" customWidth="1"/>
    <col min="14602" max="14602" width="9.140625" style="1" customWidth="1"/>
    <col min="14603" max="14603" width="10" style="1" customWidth="1"/>
    <col min="14604" max="14604" width="1.7109375" style="1" customWidth="1"/>
    <col min="14605" max="14605" width="12.42578125" style="1" customWidth="1"/>
    <col min="14606" max="14606" width="2" style="1" customWidth="1"/>
    <col min="14607" max="14607" width="13.85546875" style="1" customWidth="1"/>
    <col min="14608" max="14608" width="3.85546875" style="1" customWidth="1"/>
    <col min="14609" max="14609" width="12.42578125" style="1" customWidth="1"/>
    <col min="14610" max="14610" width="12.5703125" style="1" customWidth="1"/>
    <col min="14611" max="14611" width="12.7109375" style="1" bestFit="1" customWidth="1"/>
    <col min="14612" max="14614" width="6.85546875" style="1"/>
    <col min="14615" max="14615" width="10.140625" style="1" bestFit="1" customWidth="1"/>
    <col min="14616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3" width="11.42578125" style="1" customWidth="1"/>
    <col min="14854" max="14854" width="13.140625" style="1" customWidth="1"/>
    <col min="14855" max="14855" width="11.140625" style="1" customWidth="1"/>
    <col min="14856" max="14856" width="10.7109375" style="1" customWidth="1"/>
    <col min="14857" max="14857" width="9" style="1" customWidth="1"/>
    <col min="14858" max="14858" width="9.140625" style="1" customWidth="1"/>
    <col min="14859" max="14859" width="10" style="1" customWidth="1"/>
    <col min="14860" max="14860" width="1.7109375" style="1" customWidth="1"/>
    <col min="14861" max="14861" width="12.42578125" style="1" customWidth="1"/>
    <col min="14862" max="14862" width="2" style="1" customWidth="1"/>
    <col min="14863" max="14863" width="13.85546875" style="1" customWidth="1"/>
    <col min="14864" max="14864" width="3.85546875" style="1" customWidth="1"/>
    <col min="14865" max="14865" width="12.42578125" style="1" customWidth="1"/>
    <col min="14866" max="14866" width="12.5703125" style="1" customWidth="1"/>
    <col min="14867" max="14867" width="12.7109375" style="1" bestFit="1" customWidth="1"/>
    <col min="14868" max="14870" width="6.85546875" style="1"/>
    <col min="14871" max="14871" width="10.140625" style="1" bestFit="1" customWidth="1"/>
    <col min="14872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09" width="11.42578125" style="1" customWidth="1"/>
    <col min="15110" max="15110" width="13.140625" style="1" customWidth="1"/>
    <col min="15111" max="15111" width="11.140625" style="1" customWidth="1"/>
    <col min="15112" max="15112" width="10.7109375" style="1" customWidth="1"/>
    <col min="15113" max="15113" width="9" style="1" customWidth="1"/>
    <col min="15114" max="15114" width="9.140625" style="1" customWidth="1"/>
    <col min="15115" max="15115" width="10" style="1" customWidth="1"/>
    <col min="15116" max="15116" width="1.7109375" style="1" customWidth="1"/>
    <col min="15117" max="15117" width="12.42578125" style="1" customWidth="1"/>
    <col min="15118" max="15118" width="2" style="1" customWidth="1"/>
    <col min="15119" max="15119" width="13.85546875" style="1" customWidth="1"/>
    <col min="15120" max="15120" width="3.85546875" style="1" customWidth="1"/>
    <col min="15121" max="15121" width="12.42578125" style="1" customWidth="1"/>
    <col min="15122" max="15122" width="12.5703125" style="1" customWidth="1"/>
    <col min="15123" max="15123" width="12.7109375" style="1" bestFit="1" customWidth="1"/>
    <col min="15124" max="15126" width="6.85546875" style="1"/>
    <col min="15127" max="15127" width="10.140625" style="1" bestFit="1" customWidth="1"/>
    <col min="15128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5" width="11.42578125" style="1" customWidth="1"/>
    <col min="15366" max="15366" width="13.140625" style="1" customWidth="1"/>
    <col min="15367" max="15367" width="11.140625" style="1" customWidth="1"/>
    <col min="15368" max="15368" width="10.7109375" style="1" customWidth="1"/>
    <col min="15369" max="15369" width="9" style="1" customWidth="1"/>
    <col min="15370" max="15370" width="9.140625" style="1" customWidth="1"/>
    <col min="15371" max="15371" width="10" style="1" customWidth="1"/>
    <col min="15372" max="15372" width="1.7109375" style="1" customWidth="1"/>
    <col min="15373" max="15373" width="12.42578125" style="1" customWidth="1"/>
    <col min="15374" max="15374" width="2" style="1" customWidth="1"/>
    <col min="15375" max="15375" width="13.85546875" style="1" customWidth="1"/>
    <col min="15376" max="15376" width="3.85546875" style="1" customWidth="1"/>
    <col min="15377" max="15377" width="12.42578125" style="1" customWidth="1"/>
    <col min="15378" max="15378" width="12.5703125" style="1" customWidth="1"/>
    <col min="15379" max="15379" width="12.7109375" style="1" bestFit="1" customWidth="1"/>
    <col min="15380" max="15382" width="6.85546875" style="1"/>
    <col min="15383" max="15383" width="10.140625" style="1" bestFit="1" customWidth="1"/>
    <col min="15384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1" width="11.42578125" style="1" customWidth="1"/>
    <col min="15622" max="15622" width="13.140625" style="1" customWidth="1"/>
    <col min="15623" max="15623" width="11.140625" style="1" customWidth="1"/>
    <col min="15624" max="15624" width="10.7109375" style="1" customWidth="1"/>
    <col min="15625" max="15625" width="9" style="1" customWidth="1"/>
    <col min="15626" max="15626" width="9.140625" style="1" customWidth="1"/>
    <col min="15627" max="15627" width="10" style="1" customWidth="1"/>
    <col min="15628" max="15628" width="1.7109375" style="1" customWidth="1"/>
    <col min="15629" max="15629" width="12.42578125" style="1" customWidth="1"/>
    <col min="15630" max="15630" width="2" style="1" customWidth="1"/>
    <col min="15631" max="15631" width="13.85546875" style="1" customWidth="1"/>
    <col min="15632" max="15632" width="3.85546875" style="1" customWidth="1"/>
    <col min="15633" max="15633" width="12.42578125" style="1" customWidth="1"/>
    <col min="15634" max="15634" width="12.5703125" style="1" customWidth="1"/>
    <col min="15635" max="15635" width="12.7109375" style="1" bestFit="1" customWidth="1"/>
    <col min="15636" max="15638" width="6.85546875" style="1"/>
    <col min="15639" max="15639" width="10.140625" style="1" bestFit="1" customWidth="1"/>
    <col min="15640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7" width="11.42578125" style="1" customWidth="1"/>
    <col min="15878" max="15878" width="13.140625" style="1" customWidth="1"/>
    <col min="15879" max="15879" width="11.140625" style="1" customWidth="1"/>
    <col min="15880" max="15880" width="10.7109375" style="1" customWidth="1"/>
    <col min="15881" max="15881" width="9" style="1" customWidth="1"/>
    <col min="15882" max="15882" width="9.140625" style="1" customWidth="1"/>
    <col min="15883" max="15883" width="10" style="1" customWidth="1"/>
    <col min="15884" max="15884" width="1.7109375" style="1" customWidth="1"/>
    <col min="15885" max="15885" width="12.42578125" style="1" customWidth="1"/>
    <col min="15886" max="15886" width="2" style="1" customWidth="1"/>
    <col min="15887" max="15887" width="13.85546875" style="1" customWidth="1"/>
    <col min="15888" max="15888" width="3.85546875" style="1" customWidth="1"/>
    <col min="15889" max="15889" width="12.42578125" style="1" customWidth="1"/>
    <col min="15890" max="15890" width="12.5703125" style="1" customWidth="1"/>
    <col min="15891" max="15891" width="12.7109375" style="1" bestFit="1" customWidth="1"/>
    <col min="15892" max="15894" width="6.85546875" style="1"/>
    <col min="15895" max="15895" width="10.140625" style="1" bestFit="1" customWidth="1"/>
    <col min="15896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3" width="11.42578125" style="1" customWidth="1"/>
    <col min="16134" max="16134" width="13.140625" style="1" customWidth="1"/>
    <col min="16135" max="16135" width="11.140625" style="1" customWidth="1"/>
    <col min="16136" max="16136" width="10.7109375" style="1" customWidth="1"/>
    <col min="16137" max="16137" width="9" style="1" customWidth="1"/>
    <col min="16138" max="16138" width="9.140625" style="1" customWidth="1"/>
    <col min="16139" max="16139" width="10" style="1" customWidth="1"/>
    <col min="16140" max="16140" width="1.7109375" style="1" customWidth="1"/>
    <col min="16141" max="16141" width="12.42578125" style="1" customWidth="1"/>
    <col min="16142" max="16142" width="2" style="1" customWidth="1"/>
    <col min="16143" max="16143" width="13.85546875" style="1" customWidth="1"/>
    <col min="16144" max="16144" width="3.85546875" style="1" customWidth="1"/>
    <col min="16145" max="16145" width="12.42578125" style="1" customWidth="1"/>
    <col min="16146" max="16146" width="12.5703125" style="1" customWidth="1"/>
    <col min="16147" max="16147" width="12.7109375" style="1" bestFit="1" customWidth="1"/>
    <col min="16148" max="16150" width="6.85546875" style="1"/>
    <col min="16151" max="16151" width="10.140625" style="1" bestFit="1" customWidth="1"/>
    <col min="16152" max="16384" width="6.85546875" style="1"/>
  </cols>
  <sheetData>
    <row r="1" spans="1:38" ht="48" customHeight="1" x14ac:dyDescent="0.2">
      <c r="A1" s="95" t="s">
        <v>90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2">
        <f ca="1">YEAR(TODAY())-1</f>
        <v>2024</v>
      </c>
      <c r="Q1" s="1"/>
    </row>
    <row r="2" spans="1:38" ht="33" customHeight="1" x14ac:dyDescent="0.2">
      <c r="A2" s="3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8"/>
      <c r="L2" s="4"/>
      <c r="M2" s="5" t="s">
        <v>2</v>
      </c>
      <c r="Q2" s="6" t="s">
        <v>3</v>
      </c>
      <c r="R2" s="7" t="s">
        <v>4</v>
      </c>
    </row>
    <row r="3" spans="1:38" ht="81" customHeight="1" x14ac:dyDescent="0.2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3" t="s">
        <v>12</v>
      </c>
      <c r="I3" s="14" t="s">
        <v>13</v>
      </c>
      <c r="J3" s="13" t="s">
        <v>14</v>
      </c>
      <c r="K3" s="15" t="s">
        <v>15</v>
      </c>
      <c r="L3" s="16"/>
      <c r="M3" s="11" t="s">
        <v>16</v>
      </c>
      <c r="N3" s="17"/>
      <c r="O3" s="11" t="s">
        <v>17</v>
      </c>
      <c r="P3" s="18"/>
      <c r="Q3" s="19" t="s">
        <v>18</v>
      </c>
      <c r="R3" s="20" t="s">
        <v>19</v>
      </c>
      <c r="S3" s="54" t="s">
        <v>20</v>
      </c>
    </row>
    <row r="4" spans="1:38" ht="15" customHeight="1" x14ac:dyDescent="0.2">
      <c r="A4" s="22" t="s">
        <v>21</v>
      </c>
      <c r="B4" s="23">
        <v>807980</v>
      </c>
      <c r="C4" s="24"/>
      <c r="D4" s="25"/>
      <c r="E4" s="26"/>
      <c r="F4" s="25"/>
      <c r="G4" s="27">
        <v>680</v>
      </c>
      <c r="H4" s="25">
        <v>19460</v>
      </c>
      <c r="I4" s="25"/>
      <c r="J4" s="25"/>
      <c r="K4" s="28">
        <v>558</v>
      </c>
      <c r="L4" s="58"/>
      <c r="M4" s="32">
        <v>54290</v>
      </c>
      <c r="N4" s="59"/>
      <c r="O4" s="56">
        <f t="shared" ref="O4:O35" si="0">SUM(B4:M4)</f>
        <v>882968</v>
      </c>
      <c r="P4" s="18"/>
      <c r="Q4" s="60">
        <f>(S4-M4)</f>
        <v>46030.000000000015</v>
      </c>
      <c r="R4" s="32"/>
      <c r="S4" s="32">
        <f>(97.28+3.04)*1000</f>
        <v>100320.00000000001</v>
      </c>
    </row>
    <row r="5" spans="1:38" ht="15" customHeight="1" x14ac:dyDescent="0.2">
      <c r="A5" s="22" t="s">
        <v>22</v>
      </c>
      <c r="B5" s="23">
        <v>767580</v>
      </c>
      <c r="C5" s="24"/>
      <c r="D5" s="25"/>
      <c r="E5" s="26">
        <v>1206390</v>
      </c>
      <c r="F5" s="25"/>
      <c r="G5" s="27">
        <v>42230</v>
      </c>
      <c r="H5" s="25">
        <v>23800</v>
      </c>
      <c r="I5" s="25"/>
      <c r="J5" s="25"/>
      <c r="K5" s="28">
        <v>1143</v>
      </c>
      <c r="L5" s="58"/>
      <c r="M5" s="32">
        <v>194010</v>
      </c>
      <c r="N5" s="59"/>
      <c r="O5" s="56">
        <f t="shared" si="0"/>
        <v>2235153</v>
      </c>
      <c r="P5" s="18"/>
      <c r="Q5" s="60">
        <f t="shared" ref="Q5:Q68" si="1">(S5-M5)</f>
        <v>174430</v>
      </c>
      <c r="R5" s="32"/>
      <c r="S5" s="32">
        <v>368440</v>
      </c>
    </row>
    <row r="6" spans="1:38" ht="15" customHeight="1" x14ac:dyDescent="0.2">
      <c r="A6" s="22" t="s">
        <v>23</v>
      </c>
      <c r="B6" s="23">
        <v>1489280</v>
      </c>
      <c r="C6" s="24"/>
      <c r="D6" s="25"/>
      <c r="E6" s="26"/>
      <c r="F6" s="25">
        <v>207110</v>
      </c>
      <c r="G6" s="27">
        <v>69240</v>
      </c>
      <c r="H6" s="25"/>
      <c r="I6" s="25"/>
      <c r="J6" s="25"/>
      <c r="K6" s="28">
        <v>4305</v>
      </c>
      <c r="L6" s="58"/>
      <c r="M6" s="32">
        <v>183160</v>
      </c>
      <c r="N6" s="59"/>
      <c r="O6" s="56">
        <f t="shared" si="0"/>
        <v>1953095</v>
      </c>
      <c r="P6" s="18"/>
      <c r="Q6" s="60">
        <f t="shared" si="1"/>
        <v>164680</v>
      </c>
      <c r="R6" s="32"/>
      <c r="S6" s="32">
        <v>347840</v>
      </c>
    </row>
    <row r="7" spans="1:38" ht="25.5" customHeight="1" x14ac:dyDescent="0.2">
      <c r="A7" s="22" t="s">
        <v>24</v>
      </c>
      <c r="B7" s="23">
        <v>1697920</v>
      </c>
      <c r="C7" s="24"/>
      <c r="D7" s="25"/>
      <c r="E7" s="26"/>
      <c r="F7" s="25">
        <v>330590</v>
      </c>
      <c r="G7" s="27">
        <v>17210</v>
      </c>
      <c r="H7" s="25"/>
      <c r="I7" s="25"/>
      <c r="J7" s="25"/>
      <c r="K7" s="28">
        <v>1460</v>
      </c>
      <c r="L7" s="58"/>
      <c r="M7" s="32">
        <v>84210</v>
      </c>
      <c r="N7" s="59"/>
      <c r="O7" s="56">
        <f t="shared" si="0"/>
        <v>2131390</v>
      </c>
      <c r="P7" s="18"/>
      <c r="Q7" s="60">
        <f t="shared" si="1"/>
        <v>99920</v>
      </c>
      <c r="R7" s="32"/>
      <c r="S7" s="32">
        <v>184130</v>
      </c>
    </row>
    <row r="8" spans="1:38" ht="15" customHeight="1" x14ac:dyDescent="0.2">
      <c r="A8" s="22" t="s">
        <v>25</v>
      </c>
      <c r="B8" s="23">
        <v>112450</v>
      </c>
      <c r="C8" s="34"/>
      <c r="D8" s="25"/>
      <c r="E8" s="26"/>
      <c r="F8" s="25"/>
      <c r="G8" s="27"/>
      <c r="H8" s="25"/>
      <c r="I8" s="25"/>
      <c r="J8" s="25"/>
      <c r="K8" s="28">
        <v>0</v>
      </c>
      <c r="L8" s="58"/>
      <c r="M8" s="32">
        <v>0</v>
      </c>
      <c r="N8" s="59"/>
      <c r="O8" s="56">
        <f t="shared" si="0"/>
        <v>112450</v>
      </c>
      <c r="P8" s="18"/>
      <c r="Q8" s="60">
        <f t="shared" si="1"/>
        <v>0</v>
      </c>
      <c r="R8" s="32"/>
      <c r="S8" s="32">
        <v>0</v>
      </c>
    </row>
    <row r="9" spans="1:38" ht="15" customHeight="1" x14ac:dyDescent="0.2">
      <c r="A9" s="22" t="s">
        <v>26</v>
      </c>
      <c r="B9" s="23">
        <v>14194730</v>
      </c>
      <c r="C9" s="24"/>
      <c r="D9" s="25"/>
      <c r="E9" s="26">
        <v>283050</v>
      </c>
      <c r="F9" s="25">
        <v>10935990</v>
      </c>
      <c r="G9" s="27">
        <v>145710</v>
      </c>
      <c r="H9" s="25">
        <v>329090</v>
      </c>
      <c r="I9" s="25">
        <v>35660</v>
      </c>
      <c r="J9" s="25"/>
      <c r="K9" s="28">
        <v>0</v>
      </c>
      <c r="L9" s="58"/>
      <c r="M9" s="32">
        <v>348750</v>
      </c>
      <c r="N9" s="59"/>
      <c r="O9" s="56">
        <f t="shared" si="0"/>
        <v>26272980</v>
      </c>
      <c r="P9" s="18"/>
      <c r="Q9" s="60">
        <f t="shared" si="1"/>
        <v>2094820</v>
      </c>
      <c r="R9" s="32"/>
      <c r="S9" s="32">
        <v>2443570</v>
      </c>
    </row>
    <row r="10" spans="1:38" ht="15" customHeight="1" x14ac:dyDescent="0.2">
      <c r="A10" s="22" t="s">
        <v>27</v>
      </c>
      <c r="B10" s="23">
        <v>1162150</v>
      </c>
      <c r="C10" s="24"/>
      <c r="D10" s="25"/>
      <c r="E10" s="26">
        <v>588160</v>
      </c>
      <c r="F10" s="25">
        <v>447630</v>
      </c>
      <c r="G10" s="27">
        <v>53200</v>
      </c>
      <c r="H10" s="25"/>
      <c r="I10" s="25"/>
      <c r="J10" s="25"/>
      <c r="K10" s="28">
        <v>1417</v>
      </c>
      <c r="L10" s="58"/>
      <c r="M10" s="32">
        <v>167710</v>
      </c>
      <c r="N10" s="59"/>
      <c r="O10" s="56">
        <f t="shared" si="0"/>
        <v>2420267</v>
      </c>
      <c r="P10" s="18"/>
      <c r="Q10" s="60">
        <f t="shared" si="1"/>
        <v>142300</v>
      </c>
      <c r="R10" s="32"/>
      <c r="S10" s="32">
        <f>(299.8+10.21)*1000</f>
        <v>310010</v>
      </c>
    </row>
    <row r="11" spans="1:38" s="61" customFormat="1" ht="15" customHeight="1" x14ac:dyDescent="0.2">
      <c r="A11" s="22" t="s">
        <v>28</v>
      </c>
      <c r="B11" s="23">
        <v>241810</v>
      </c>
      <c r="C11" s="24"/>
      <c r="D11" s="25"/>
      <c r="E11" s="26">
        <v>676435</v>
      </c>
      <c r="F11" s="25"/>
      <c r="G11" s="27"/>
      <c r="H11" s="25"/>
      <c r="I11" s="25"/>
      <c r="J11" s="25"/>
      <c r="K11" s="28">
        <v>0</v>
      </c>
      <c r="L11" s="58"/>
      <c r="M11" s="32">
        <v>24760</v>
      </c>
      <c r="N11" s="59"/>
      <c r="O11" s="56">
        <f t="shared" si="0"/>
        <v>943005</v>
      </c>
      <c r="P11" s="18"/>
      <c r="Q11" s="60">
        <f t="shared" si="1"/>
        <v>23520</v>
      </c>
      <c r="R11" s="32"/>
      <c r="S11" s="32">
        <f>(31.04+17.24)*1000</f>
        <v>48280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5" customHeight="1" x14ac:dyDescent="0.2">
      <c r="A12" s="22" t="s">
        <v>29</v>
      </c>
      <c r="B12" s="23">
        <v>817540</v>
      </c>
      <c r="C12" s="24">
        <v>885450</v>
      </c>
      <c r="D12" s="25"/>
      <c r="E12" s="26">
        <v>61750</v>
      </c>
      <c r="F12" s="25"/>
      <c r="G12" s="27"/>
      <c r="H12" s="25">
        <v>62730</v>
      </c>
      <c r="I12" s="25"/>
      <c r="J12" s="25"/>
      <c r="K12" s="28">
        <v>1408</v>
      </c>
      <c r="L12" s="58"/>
      <c r="M12" s="32">
        <v>112950</v>
      </c>
      <c r="N12" s="59"/>
      <c r="O12" s="56">
        <f t="shared" si="0"/>
        <v>1941828</v>
      </c>
      <c r="P12" s="18"/>
      <c r="Q12" s="60">
        <f t="shared" si="1"/>
        <v>134020</v>
      </c>
      <c r="R12" s="32"/>
      <c r="S12" s="32">
        <v>246970</v>
      </c>
    </row>
    <row r="13" spans="1:38" ht="24" customHeight="1" x14ac:dyDescent="0.2">
      <c r="A13" s="22" t="s">
        <v>30</v>
      </c>
      <c r="B13" s="23">
        <v>2290500</v>
      </c>
      <c r="C13" s="24"/>
      <c r="D13" s="25"/>
      <c r="E13" s="26"/>
      <c r="F13" s="25">
        <v>765490</v>
      </c>
      <c r="G13" s="27"/>
      <c r="H13" s="25">
        <v>35210</v>
      </c>
      <c r="I13" s="25"/>
      <c r="J13" s="25"/>
      <c r="K13" s="28">
        <v>334</v>
      </c>
      <c r="L13" s="58"/>
      <c r="M13" s="32">
        <v>283960</v>
      </c>
      <c r="N13" s="59"/>
      <c r="O13" s="56">
        <f t="shared" si="0"/>
        <v>3375494</v>
      </c>
      <c r="P13" s="18"/>
      <c r="Q13" s="60">
        <f t="shared" si="1"/>
        <v>266820</v>
      </c>
      <c r="R13" s="32"/>
      <c r="S13" s="32">
        <v>550780</v>
      </c>
    </row>
    <row r="14" spans="1:38" ht="22.5" customHeight="1" x14ac:dyDescent="0.2">
      <c r="A14" s="22" t="s">
        <v>31</v>
      </c>
      <c r="B14" s="23">
        <v>1709430</v>
      </c>
      <c r="C14" s="24">
        <v>634790</v>
      </c>
      <c r="D14" s="25"/>
      <c r="E14" s="26"/>
      <c r="F14" s="25"/>
      <c r="G14" s="27">
        <v>3860</v>
      </c>
      <c r="H14" s="25">
        <v>5460</v>
      </c>
      <c r="I14" s="25"/>
      <c r="J14" s="25"/>
      <c r="K14" s="28">
        <v>798</v>
      </c>
      <c r="L14" s="58"/>
      <c r="M14" s="32">
        <v>22390</v>
      </c>
      <c r="N14" s="59"/>
      <c r="O14" s="56">
        <f t="shared" si="0"/>
        <v>2376728</v>
      </c>
      <c r="P14" s="18"/>
      <c r="Q14" s="60">
        <f t="shared" si="1"/>
        <v>18790</v>
      </c>
      <c r="R14" s="32"/>
      <c r="S14" s="32">
        <v>41180</v>
      </c>
    </row>
    <row r="15" spans="1:38" ht="21" customHeight="1" x14ac:dyDescent="0.2">
      <c r="A15" s="22" t="s">
        <v>32</v>
      </c>
      <c r="B15" s="23">
        <v>4048040</v>
      </c>
      <c r="C15" s="24">
        <v>688720</v>
      </c>
      <c r="D15" s="25">
        <v>389730</v>
      </c>
      <c r="E15" s="26"/>
      <c r="F15" s="25">
        <v>377000</v>
      </c>
      <c r="G15" s="27">
        <v>2580</v>
      </c>
      <c r="H15" s="25">
        <v>37540</v>
      </c>
      <c r="I15" s="25"/>
      <c r="J15" s="25"/>
      <c r="K15" s="28">
        <v>880</v>
      </c>
      <c r="L15" s="58"/>
      <c r="M15" s="32">
        <v>155750</v>
      </c>
      <c r="N15" s="59"/>
      <c r="O15" s="56">
        <f t="shared" si="0"/>
        <v>5700240</v>
      </c>
      <c r="P15" s="18"/>
      <c r="Q15" s="60">
        <f t="shared" si="1"/>
        <v>184820</v>
      </c>
      <c r="R15" s="32"/>
      <c r="S15" s="32">
        <v>340570</v>
      </c>
    </row>
    <row r="16" spans="1:38" ht="30" customHeight="1" x14ac:dyDescent="0.2">
      <c r="A16" s="22" t="s">
        <v>33</v>
      </c>
      <c r="B16" s="23">
        <v>2498080</v>
      </c>
      <c r="C16" s="24"/>
      <c r="D16" s="25"/>
      <c r="E16" s="26"/>
      <c r="F16" s="25"/>
      <c r="G16" s="27"/>
      <c r="H16" s="25"/>
      <c r="I16" s="25"/>
      <c r="J16" s="25"/>
      <c r="K16" s="28">
        <v>1586</v>
      </c>
      <c r="L16" s="58"/>
      <c r="M16" s="32">
        <v>229680</v>
      </c>
      <c r="N16" s="59"/>
      <c r="O16" s="56">
        <f t="shared" si="0"/>
        <v>2729346</v>
      </c>
      <c r="P16" s="18"/>
      <c r="Q16" s="60">
        <f t="shared" si="1"/>
        <v>206500</v>
      </c>
      <c r="R16" s="32"/>
      <c r="S16" s="32">
        <v>436180</v>
      </c>
      <c r="U16" s="1">
        <v>1000</v>
      </c>
      <c r="W16" s="35"/>
    </row>
    <row r="17" spans="1:19" ht="15" customHeight="1" x14ac:dyDescent="0.2">
      <c r="A17" s="22" t="s">
        <v>34</v>
      </c>
      <c r="B17" s="23">
        <v>845960</v>
      </c>
      <c r="C17" s="24"/>
      <c r="D17" s="25"/>
      <c r="E17" s="26"/>
      <c r="F17" s="25"/>
      <c r="G17" s="27">
        <v>45790</v>
      </c>
      <c r="H17" s="25">
        <v>520</v>
      </c>
      <c r="I17" s="25">
        <v>310</v>
      </c>
      <c r="J17" s="25">
        <v>208990</v>
      </c>
      <c r="K17" s="28">
        <v>1099</v>
      </c>
      <c r="L17" s="58"/>
      <c r="M17" s="32">
        <v>0</v>
      </c>
      <c r="N17" s="59"/>
      <c r="O17" s="56">
        <f t="shared" si="0"/>
        <v>1102669</v>
      </c>
      <c r="P17" s="18"/>
      <c r="Q17" s="60">
        <f t="shared" si="1"/>
        <v>0</v>
      </c>
      <c r="R17" s="32"/>
      <c r="S17" s="32">
        <v>0</v>
      </c>
    </row>
    <row r="18" spans="1:19" ht="15" customHeight="1" x14ac:dyDescent="0.2">
      <c r="A18" s="22" t="s">
        <v>35</v>
      </c>
      <c r="B18" s="23">
        <v>1548960</v>
      </c>
      <c r="C18" s="24"/>
      <c r="D18" s="25"/>
      <c r="E18" s="26"/>
      <c r="F18" s="25"/>
      <c r="G18" s="27">
        <v>47910</v>
      </c>
      <c r="H18" s="25">
        <v>24310</v>
      </c>
      <c r="I18" s="25"/>
      <c r="J18" s="25"/>
      <c r="K18" s="28">
        <v>0</v>
      </c>
      <c r="L18" s="58"/>
      <c r="M18" s="32">
        <v>0</v>
      </c>
      <c r="N18" s="59"/>
      <c r="O18" s="56">
        <f t="shared" si="0"/>
        <v>1621180</v>
      </c>
      <c r="P18" s="18"/>
      <c r="Q18" s="60">
        <f t="shared" si="1"/>
        <v>0</v>
      </c>
      <c r="R18" s="32"/>
      <c r="S18" s="32">
        <v>0</v>
      </c>
    </row>
    <row r="19" spans="1:19" ht="15" customHeight="1" x14ac:dyDescent="0.2">
      <c r="A19" s="22" t="s">
        <v>36</v>
      </c>
      <c r="B19" s="23">
        <v>1377450</v>
      </c>
      <c r="C19" s="24"/>
      <c r="D19" s="25"/>
      <c r="E19" s="26"/>
      <c r="F19" s="25">
        <v>241450</v>
      </c>
      <c r="G19" s="27">
        <v>15800</v>
      </c>
      <c r="H19" s="25"/>
      <c r="I19" s="25"/>
      <c r="J19" s="25"/>
      <c r="K19" s="28">
        <v>0</v>
      </c>
      <c r="L19" s="58"/>
      <c r="M19" s="32">
        <v>91890</v>
      </c>
      <c r="N19" s="59"/>
      <c r="O19" s="56">
        <f t="shared" si="0"/>
        <v>1726590</v>
      </c>
      <c r="P19" s="18"/>
      <c r="Q19" s="60">
        <f t="shared" si="1"/>
        <v>109040</v>
      </c>
      <c r="R19" s="32"/>
      <c r="S19" s="32">
        <v>200930</v>
      </c>
    </row>
    <row r="20" spans="1:19" ht="15" customHeight="1" x14ac:dyDescent="0.2">
      <c r="A20" s="22" t="s">
        <v>37</v>
      </c>
      <c r="B20" s="23">
        <v>3267340</v>
      </c>
      <c r="C20" s="24"/>
      <c r="D20" s="25"/>
      <c r="E20" s="26"/>
      <c r="F20" s="25"/>
      <c r="G20" s="27">
        <v>110070</v>
      </c>
      <c r="H20" s="25">
        <v>41740</v>
      </c>
      <c r="I20" s="25"/>
      <c r="J20" s="25"/>
      <c r="K20" s="28">
        <v>968</v>
      </c>
      <c r="L20" s="58"/>
      <c r="M20" s="32">
        <v>368300</v>
      </c>
      <c r="N20" s="59"/>
      <c r="O20" s="56">
        <f t="shared" si="0"/>
        <v>3788418</v>
      </c>
      <c r="P20" s="18"/>
      <c r="Q20" s="60">
        <f t="shared" si="1"/>
        <v>331120</v>
      </c>
      <c r="R20" s="32"/>
      <c r="S20" s="32">
        <v>699420</v>
      </c>
    </row>
    <row r="21" spans="1:19" ht="15" customHeight="1" x14ac:dyDescent="0.2">
      <c r="A21" s="22" t="s">
        <v>38</v>
      </c>
      <c r="B21" s="23">
        <v>475670</v>
      </c>
      <c r="C21" s="24"/>
      <c r="D21" s="25"/>
      <c r="E21" s="26">
        <v>540460</v>
      </c>
      <c r="F21" s="25"/>
      <c r="G21" s="27">
        <v>38130</v>
      </c>
      <c r="H21" s="25">
        <v>2800</v>
      </c>
      <c r="I21" s="25"/>
      <c r="J21" s="25"/>
      <c r="K21" s="28">
        <v>0</v>
      </c>
      <c r="L21" s="58"/>
      <c r="M21" s="32">
        <v>42470</v>
      </c>
      <c r="N21" s="59"/>
      <c r="O21" s="56">
        <f t="shared" si="0"/>
        <v>1099530</v>
      </c>
      <c r="P21" s="18"/>
      <c r="Q21" s="60">
        <f t="shared" si="1"/>
        <v>38190</v>
      </c>
      <c r="R21" s="32"/>
      <c r="S21" s="32">
        <v>80660</v>
      </c>
    </row>
    <row r="22" spans="1:19" ht="20.25" customHeight="1" x14ac:dyDescent="0.2">
      <c r="A22" s="22" t="s">
        <v>39</v>
      </c>
      <c r="B22" s="23">
        <v>1417920</v>
      </c>
      <c r="C22" s="24">
        <v>1177600</v>
      </c>
      <c r="D22" s="25"/>
      <c r="E22" s="26"/>
      <c r="F22" s="25"/>
      <c r="G22" s="27">
        <v>400490</v>
      </c>
      <c r="H22" s="25"/>
      <c r="I22" s="25"/>
      <c r="J22" s="25"/>
      <c r="K22" s="28">
        <v>0</v>
      </c>
      <c r="L22" s="58"/>
      <c r="M22" s="32">
        <v>0</v>
      </c>
      <c r="N22" s="59"/>
      <c r="O22" s="56">
        <f t="shared" si="0"/>
        <v>2996010</v>
      </c>
      <c r="P22" s="18"/>
      <c r="Q22" s="60">
        <f t="shared" si="1"/>
        <v>0</v>
      </c>
      <c r="R22" s="32"/>
      <c r="S22" s="32">
        <v>0</v>
      </c>
    </row>
    <row r="23" spans="1:19" ht="15" customHeight="1" x14ac:dyDescent="0.2">
      <c r="A23" s="22" t="s">
        <v>40</v>
      </c>
      <c r="B23" s="23">
        <v>1102880</v>
      </c>
      <c r="C23" s="24"/>
      <c r="D23" s="25"/>
      <c r="E23" s="26"/>
      <c r="F23" s="25"/>
      <c r="G23" s="27"/>
      <c r="H23" s="25"/>
      <c r="I23" s="25"/>
      <c r="J23" s="25"/>
      <c r="K23" s="28">
        <v>1508</v>
      </c>
      <c r="L23" s="58"/>
      <c r="M23" s="32">
        <v>104300</v>
      </c>
      <c r="N23" s="59"/>
      <c r="O23" s="56">
        <f t="shared" si="0"/>
        <v>1208688</v>
      </c>
      <c r="P23" s="18"/>
      <c r="Q23" s="60">
        <f t="shared" si="1"/>
        <v>87500</v>
      </c>
      <c r="R23" s="32"/>
      <c r="S23" s="32">
        <v>191800</v>
      </c>
    </row>
    <row r="24" spans="1:19" ht="25.5" customHeight="1" x14ac:dyDescent="0.2">
      <c r="A24" s="22" t="s">
        <v>41</v>
      </c>
      <c r="B24" s="23">
        <v>1378290</v>
      </c>
      <c r="C24" s="24"/>
      <c r="D24" s="25">
        <v>102760</v>
      </c>
      <c r="E24" s="26">
        <v>246280</v>
      </c>
      <c r="F24" s="25">
        <v>33080</v>
      </c>
      <c r="G24" s="27">
        <v>7820</v>
      </c>
      <c r="H24" s="25">
        <v>22750</v>
      </c>
      <c r="I24" s="25"/>
      <c r="J24" s="25"/>
      <c r="K24" s="28">
        <v>1293</v>
      </c>
      <c r="L24" s="58"/>
      <c r="M24" s="32">
        <v>152330</v>
      </c>
      <c r="N24" s="59"/>
      <c r="O24" s="56">
        <f t="shared" si="0"/>
        <v>1944603</v>
      </c>
      <c r="P24" s="18"/>
      <c r="Q24" s="60">
        <f t="shared" si="1"/>
        <v>136950</v>
      </c>
      <c r="R24" s="32"/>
      <c r="S24" s="32">
        <v>289280</v>
      </c>
    </row>
    <row r="25" spans="1:19" ht="15" customHeight="1" x14ac:dyDescent="0.2">
      <c r="A25" s="36" t="s">
        <v>42</v>
      </c>
      <c r="B25" s="23">
        <v>1706770</v>
      </c>
      <c r="C25" s="24"/>
      <c r="D25" s="25"/>
      <c r="E25" s="26"/>
      <c r="F25" s="25"/>
      <c r="G25" s="27"/>
      <c r="H25" s="25"/>
      <c r="I25" s="25"/>
      <c r="J25" s="25"/>
      <c r="K25" s="28">
        <v>558</v>
      </c>
      <c r="L25" s="58"/>
      <c r="M25" s="32">
        <v>121530</v>
      </c>
      <c r="N25" s="59"/>
      <c r="O25" s="56">
        <f t="shared" si="0"/>
        <v>1828858</v>
      </c>
      <c r="P25" s="18"/>
      <c r="Q25" s="60">
        <f t="shared" si="1"/>
        <v>131370</v>
      </c>
      <c r="R25" s="32"/>
      <c r="S25" s="32">
        <f>(30.32+222.58)*1000</f>
        <v>252900</v>
      </c>
    </row>
    <row r="26" spans="1:19" ht="15" customHeight="1" x14ac:dyDescent="0.2">
      <c r="A26" s="22" t="s">
        <v>43</v>
      </c>
      <c r="B26" s="23">
        <v>2225470</v>
      </c>
      <c r="C26" s="24"/>
      <c r="D26" s="25"/>
      <c r="E26" s="26"/>
      <c r="F26" s="25"/>
      <c r="G26" s="27"/>
      <c r="H26" s="25">
        <v>5220</v>
      </c>
      <c r="I26" s="25"/>
      <c r="J26" s="25"/>
      <c r="K26" s="28">
        <v>953</v>
      </c>
      <c r="L26" s="58"/>
      <c r="M26" s="32">
        <v>94470</v>
      </c>
      <c r="N26" s="59"/>
      <c r="O26" s="56">
        <f t="shared" si="0"/>
        <v>2326113</v>
      </c>
      <c r="P26" s="18"/>
      <c r="Q26" s="60">
        <f t="shared" si="1"/>
        <v>112100</v>
      </c>
      <c r="R26" s="32"/>
      <c r="S26" s="32">
        <v>206570</v>
      </c>
    </row>
    <row r="27" spans="1:19" ht="15" customHeight="1" x14ac:dyDescent="0.2">
      <c r="A27" s="22" t="s">
        <v>44</v>
      </c>
      <c r="B27" s="23">
        <v>1464950</v>
      </c>
      <c r="C27" s="24"/>
      <c r="D27" s="25"/>
      <c r="E27" s="26"/>
      <c r="F27" s="25"/>
      <c r="G27" s="27"/>
      <c r="H27" s="25"/>
      <c r="I27" s="25"/>
      <c r="J27" s="25">
        <v>226070</v>
      </c>
      <c r="K27" s="28">
        <v>1182</v>
      </c>
      <c r="L27" s="58"/>
      <c r="M27" s="32">
        <v>5580</v>
      </c>
      <c r="N27" s="59"/>
      <c r="O27" s="56">
        <f t="shared" si="0"/>
        <v>1697782</v>
      </c>
      <c r="P27" s="18"/>
      <c r="Q27" s="60">
        <f t="shared" si="1"/>
        <v>6620</v>
      </c>
      <c r="R27" s="32"/>
      <c r="S27" s="32">
        <v>12200</v>
      </c>
    </row>
    <row r="28" spans="1:19" ht="15" customHeight="1" x14ac:dyDescent="0.2">
      <c r="A28" s="22" t="s">
        <v>45</v>
      </c>
      <c r="B28" s="23">
        <v>2049720</v>
      </c>
      <c r="C28" s="24"/>
      <c r="D28" s="25"/>
      <c r="E28" s="26"/>
      <c r="F28" s="25">
        <v>582380</v>
      </c>
      <c r="G28" s="27">
        <v>31320</v>
      </c>
      <c r="H28" s="25">
        <v>26580</v>
      </c>
      <c r="I28" s="25"/>
      <c r="J28" s="25"/>
      <c r="K28" s="28">
        <v>1115</v>
      </c>
      <c r="L28" s="58"/>
      <c r="M28" s="32">
        <v>140410</v>
      </c>
      <c r="N28" s="59"/>
      <c r="O28" s="56">
        <f t="shared" si="0"/>
        <v>2831525</v>
      </c>
      <c r="P28" s="18"/>
      <c r="Q28" s="60">
        <f t="shared" si="1"/>
        <v>166620</v>
      </c>
      <c r="R28" s="32"/>
      <c r="S28" s="32">
        <v>307030</v>
      </c>
    </row>
    <row r="29" spans="1:19" ht="15" customHeight="1" x14ac:dyDescent="0.2">
      <c r="A29" s="22" t="s">
        <v>46</v>
      </c>
      <c r="B29" s="23">
        <v>793350</v>
      </c>
      <c r="C29" s="24"/>
      <c r="D29" s="25"/>
      <c r="E29" s="26"/>
      <c r="F29" s="25"/>
      <c r="G29" s="27">
        <v>5990</v>
      </c>
      <c r="H29" s="25">
        <v>1140</v>
      </c>
      <c r="I29" s="25"/>
      <c r="J29" s="25"/>
      <c r="K29" s="28">
        <v>736</v>
      </c>
      <c r="L29" s="58"/>
      <c r="M29" s="32">
        <v>40980</v>
      </c>
      <c r="N29" s="59"/>
      <c r="O29" s="56">
        <f t="shared" si="0"/>
        <v>842196</v>
      </c>
      <c r="P29" s="18"/>
      <c r="Q29" s="60">
        <f t="shared" si="1"/>
        <v>48620</v>
      </c>
      <c r="R29" s="32"/>
      <c r="S29" s="32">
        <v>89600</v>
      </c>
    </row>
    <row r="30" spans="1:19" ht="15" customHeight="1" x14ac:dyDescent="0.2">
      <c r="A30" s="22" t="s">
        <v>47</v>
      </c>
      <c r="B30" s="23">
        <v>1244020</v>
      </c>
      <c r="C30" s="24"/>
      <c r="D30" s="25"/>
      <c r="E30" s="26">
        <v>1298690</v>
      </c>
      <c r="F30" s="25">
        <v>422600</v>
      </c>
      <c r="G30" s="27">
        <v>52910</v>
      </c>
      <c r="H30" s="25">
        <v>37990</v>
      </c>
      <c r="I30" s="25"/>
      <c r="J30" s="25">
        <v>24490</v>
      </c>
      <c r="K30" s="28">
        <v>689</v>
      </c>
      <c r="L30" s="58"/>
      <c r="M30" s="32">
        <v>207290</v>
      </c>
      <c r="N30" s="59"/>
      <c r="O30" s="56">
        <f t="shared" si="0"/>
        <v>3288679</v>
      </c>
      <c r="P30" s="18"/>
      <c r="Q30" s="60">
        <f t="shared" si="1"/>
        <v>215990</v>
      </c>
      <c r="R30" s="32"/>
      <c r="S30" s="32">
        <f>(225.3+197.98)*1000</f>
        <v>423280</v>
      </c>
    </row>
    <row r="31" spans="1:19" ht="25.5" customHeight="1" x14ac:dyDescent="0.2">
      <c r="A31" s="22" t="s">
        <v>48</v>
      </c>
      <c r="B31" s="23">
        <v>1103200</v>
      </c>
      <c r="C31" s="24"/>
      <c r="D31" s="25"/>
      <c r="E31" s="26">
        <v>1344640</v>
      </c>
      <c r="F31" s="25">
        <v>145730</v>
      </c>
      <c r="G31" s="27">
        <v>43120</v>
      </c>
      <c r="H31" s="25">
        <v>37810</v>
      </c>
      <c r="I31" s="25">
        <v>3220</v>
      </c>
      <c r="J31" s="25"/>
      <c r="K31" s="28">
        <v>871</v>
      </c>
      <c r="L31" s="58"/>
      <c r="M31" s="32">
        <v>151780</v>
      </c>
      <c r="N31" s="59"/>
      <c r="O31" s="56">
        <f t="shared" si="0"/>
        <v>2830371</v>
      </c>
      <c r="P31" s="18"/>
      <c r="Q31" s="60">
        <f t="shared" si="1"/>
        <v>166360</v>
      </c>
      <c r="R31" s="32"/>
      <c r="S31" s="32">
        <f>(245.44+72.7)*1000</f>
        <v>318140</v>
      </c>
    </row>
    <row r="32" spans="1:19" ht="15" customHeight="1" x14ac:dyDescent="0.2">
      <c r="A32" s="22" t="s">
        <v>49</v>
      </c>
      <c r="B32" s="23">
        <v>4596580</v>
      </c>
      <c r="C32" s="24"/>
      <c r="D32" s="25"/>
      <c r="E32" s="26"/>
      <c r="F32" s="25"/>
      <c r="G32" s="27">
        <v>39550</v>
      </c>
      <c r="H32" s="25">
        <v>20270</v>
      </c>
      <c r="I32" s="25"/>
      <c r="J32" s="25"/>
      <c r="K32" s="28">
        <v>866</v>
      </c>
      <c r="L32" s="58"/>
      <c r="M32" s="32">
        <v>137090</v>
      </c>
      <c r="N32" s="59"/>
      <c r="O32" s="56">
        <f t="shared" si="0"/>
        <v>4794356</v>
      </c>
      <c r="P32" s="18"/>
      <c r="Q32" s="60">
        <f t="shared" si="1"/>
        <v>187610</v>
      </c>
      <c r="R32" s="32"/>
      <c r="S32" s="32">
        <f>(236.42+88.28)*1000</f>
        <v>324700</v>
      </c>
    </row>
    <row r="33" spans="1:19" ht="15" customHeight="1" x14ac:dyDescent="0.2">
      <c r="A33" s="22" t="s">
        <v>50</v>
      </c>
      <c r="B33" s="23">
        <v>533810</v>
      </c>
      <c r="C33" s="24"/>
      <c r="D33" s="25"/>
      <c r="E33" s="26">
        <v>1137780</v>
      </c>
      <c r="F33" s="25"/>
      <c r="G33" s="27">
        <v>2230</v>
      </c>
      <c r="H33" s="25"/>
      <c r="I33" s="25"/>
      <c r="J33" s="25"/>
      <c r="K33" s="28">
        <v>0</v>
      </c>
      <c r="L33" s="58"/>
      <c r="M33" s="32">
        <v>71110</v>
      </c>
      <c r="N33" s="59"/>
      <c r="O33" s="56">
        <f t="shared" si="0"/>
        <v>1744930</v>
      </c>
      <c r="P33" s="18"/>
      <c r="Q33" s="60">
        <f t="shared" si="1"/>
        <v>59649.999999999985</v>
      </c>
      <c r="R33" s="32"/>
      <c r="S33" s="32">
        <v>130759.99999999999</v>
      </c>
    </row>
    <row r="34" spans="1:19" ht="15" customHeight="1" x14ac:dyDescent="0.2">
      <c r="A34" s="22" t="s">
        <v>51</v>
      </c>
      <c r="B34" s="23">
        <v>1672790</v>
      </c>
      <c r="C34" s="24"/>
      <c r="D34" s="25"/>
      <c r="E34" s="26"/>
      <c r="F34" s="25"/>
      <c r="G34" s="27"/>
      <c r="H34" s="25">
        <v>21600</v>
      </c>
      <c r="I34" s="25"/>
      <c r="J34" s="25"/>
      <c r="K34" s="28">
        <v>0</v>
      </c>
      <c r="L34" s="58"/>
      <c r="M34" s="32">
        <v>144980</v>
      </c>
      <c r="N34" s="62"/>
      <c r="O34" s="56">
        <f t="shared" si="0"/>
        <v>1839370</v>
      </c>
      <c r="P34" s="18"/>
      <c r="Q34" s="60">
        <f t="shared" si="1"/>
        <v>130340</v>
      </c>
      <c r="R34" s="32"/>
      <c r="S34" s="32">
        <v>275320</v>
      </c>
    </row>
    <row r="35" spans="1:19" ht="15" customHeight="1" x14ac:dyDescent="0.2">
      <c r="A35" s="22" t="s">
        <v>52</v>
      </c>
      <c r="B35" s="23">
        <v>233310</v>
      </c>
      <c r="C35" s="24"/>
      <c r="D35" s="25"/>
      <c r="E35" s="26"/>
      <c r="F35" s="25"/>
      <c r="G35" s="27"/>
      <c r="H35" s="25"/>
      <c r="I35" s="25"/>
      <c r="J35" s="25"/>
      <c r="K35" s="28">
        <v>0</v>
      </c>
      <c r="L35" s="58"/>
      <c r="M35" s="32">
        <v>20490</v>
      </c>
      <c r="N35" s="62"/>
      <c r="O35" s="56">
        <f t="shared" si="0"/>
        <v>253800</v>
      </c>
      <c r="P35" s="18"/>
      <c r="Q35" s="60">
        <f t="shared" si="1"/>
        <v>24320</v>
      </c>
      <c r="R35" s="32"/>
      <c r="S35" s="32">
        <v>44810</v>
      </c>
    </row>
    <row r="36" spans="1:19" ht="15" customHeight="1" x14ac:dyDescent="0.2">
      <c r="A36" s="22" t="s">
        <v>53</v>
      </c>
      <c r="B36" s="23">
        <v>1058380</v>
      </c>
      <c r="C36" s="24"/>
      <c r="D36" s="25"/>
      <c r="E36" s="26"/>
      <c r="F36" s="25"/>
      <c r="G36" s="27"/>
      <c r="H36" s="25"/>
      <c r="I36" s="25"/>
      <c r="J36" s="25"/>
      <c r="K36" s="28">
        <v>0</v>
      </c>
      <c r="L36" s="58"/>
      <c r="M36" s="32">
        <v>82750</v>
      </c>
      <c r="N36" s="62"/>
      <c r="O36" s="56">
        <f>SUM(B36:M36)</f>
        <v>1141130</v>
      </c>
      <c r="P36" s="18"/>
      <c r="Q36" s="60">
        <f t="shared" si="1"/>
        <v>74390</v>
      </c>
      <c r="R36" s="32"/>
      <c r="S36" s="32">
        <v>157140</v>
      </c>
    </row>
    <row r="37" spans="1:19" ht="25.5" customHeight="1" x14ac:dyDescent="0.2">
      <c r="A37" s="22" t="s">
        <v>54</v>
      </c>
      <c r="B37" s="23">
        <v>932590</v>
      </c>
      <c r="C37" s="24"/>
      <c r="D37" s="25"/>
      <c r="E37" s="26"/>
      <c r="F37" s="25"/>
      <c r="G37" s="27"/>
      <c r="H37" s="25"/>
      <c r="I37" s="25"/>
      <c r="J37" s="25">
        <v>4940</v>
      </c>
      <c r="K37" s="28">
        <v>0</v>
      </c>
      <c r="L37" s="58"/>
      <c r="M37" s="32">
        <v>80660</v>
      </c>
      <c r="N37" s="62"/>
      <c r="O37" s="56">
        <f t="shared" ref="O37:O69" si="2">SUM(B37:M37)</f>
        <v>1018190</v>
      </c>
      <c r="P37" s="18"/>
      <c r="Q37" s="60">
        <f t="shared" si="1"/>
        <v>95710</v>
      </c>
      <c r="R37" s="32"/>
      <c r="S37" s="32">
        <v>176370</v>
      </c>
    </row>
    <row r="38" spans="1:19" ht="12.75" customHeight="1" x14ac:dyDescent="0.2">
      <c r="A38" s="22" t="s">
        <v>55</v>
      </c>
      <c r="B38" s="23">
        <v>853460</v>
      </c>
      <c r="C38" s="24"/>
      <c r="D38" s="25"/>
      <c r="E38" s="26"/>
      <c r="F38" s="25"/>
      <c r="G38" s="27">
        <v>19750</v>
      </c>
      <c r="H38" s="25"/>
      <c r="I38" s="25"/>
      <c r="J38" s="25"/>
      <c r="K38" s="28">
        <v>273</v>
      </c>
      <c r="L38" s="58"/>
      <c r="M38" s="32">
        <v>19970</v>
      </c>
      <c r="N38" s="62"/>
      <c r="O38" s="56">
        <f t="shared" si="2"/>
        <v>893453</v>
      </c>
      <c r="P38" s="18"/>
      <c r="Q38" s="60">
        <f t="shared" si="1"/>
        <v>16750</v>
      </c>
      <c r="R38" s="32"/>
      <c r="S38" s="32">
        <v>36720</v>
      </c>
    </row>
    <row r="39" spans="1:19" ht="16.5" customHeight="1" x14ac:dyDescent="0.2">
      <c r="A39" s="22" t="s">
        <v>56</v>
      </c>
      <c r="B39" s="23">
        <v>1880310</v>
      </c>
      <c r="C39" s="24"/>
      <c r="D39" s="25">
        <v>138070</v>
      </c>
      <c r="E39" s="26"/>
      <c r="F39" s="25"/>
      <c r="G39" s="27"/>
      <c r="H39" s="25">
        <v>10220</v>
      </c>
      <c r="I39" s="25"/>
      <c r="J39" s="25"/>
      <c r="K39" s="28">
        <v>0</v>
      </c>
      <c r="L39" s="58"/>
      <c r="M39" s="32">
        <v>49890</v>
      </c>
      <c r="N39" s="62"/>
      <c r="O39" s="56">
        <f t="shared" si="2"/>
        <v>2078490</v>
      </c>
      <c r="P39" s="18"/>
      <c r="Q39" s="60">
        <f t="shared" si="1"/>
        <v>44850</v>
      </c>
      <c r="R39" s="32"/>
      <c r="S39" s="32">
        <v>94740</v>
      </c>
    </row>
    <row r="40" spans="1:19" ht="30" customHeight="1" x14ac:dyDescent="0.2">
      <c r="A40" s="22" t="s">
        <v>57</v>
      </c>
      <c r="B40" s="23">
        <v>1181650</v>
      </c>
      <c r="C40" s="24">
        <v>80230</v>
      </c>
      <c r="D40" s="25"/>
      <c r="E40" s="26"/>
      <c r="F40" s="25"/>
      <c r="G40" s="27"/>
      <c r="H40" s="25">
        <v>13860</v>
      </c>
      <c r="I40" s="25"/>
      <c r="J40" s="25"/>
      <c r="K40" s="28">
        <v>0</v>
      </c>
      <c r="L40" s="58"/>
      <c r="M40" s="32">
        <v>83750</v>
      </c>
      <c r="N40" s="62"/>
      <c r="O40" s="56">
        <f t="shared" si="2"/>
        <v>1359490</v>
      </c>
      <c r="P40" s="18"/>
      <c r="Q40" s="60">
        <f t="shared" si="1"/>
        <v>75290</v>
      </c>
      <c r="R40" s="32"/>
      <c r="S40" s="32">
        <v>159040</v>
      </c>
    </row>
    <row r="41" spans="1:19" ht="15" customHeight="1" x14ac:dyDescent="0.2">
      <c r="A41" s="22" t="s">
        <v>58</v>
      </c>
      <c r="B41" s="23">
        <v>1247040</v>
      </c>
      <c r="C41" s="24"/>
      <c r="D41" s="25"/>
      <c r="E41" s="26"/>
      <c r="F41" s="25"/>
      <c r="G41" s="27"/>
      <c r="H41" s="25">
        <v>16550</v>
      </c>
      <c r="I41" s="25"/>
      <c r="J41" s="25"/>
      <c r="K41" s="28">
        <v>0</v>
      </c>
      <c r="L41" s="58"/>
      <c r="M41" s="32">
        <v>77600</v>
      </c>
      <c r="N41" s="26"/>
      <c r="O41" s="56">
        <f t="shared" si="2"/>
        <v>1341190</v>
      </c>
      <c r="P41" s="18"/>
      <c r="Q41" s="60">
        <f t="shared" si="1"/>
        <v>65100</v>
      </c>
      <c r="R41" s="32"/>
      <c r="S41" s="32">
        <v>142700</v>
      </c>
    </row>
    <row r="42" spans="1:19" ht="15" customHeight="1" x14ac:dyDescent="0.2">
      <c r="A42" s="22" t="s">
        <v>59</v>
      </c>
      <c r="B42" s="23">
        <v>1213470</v>
      </c>
      <c r="C42" s="24"/>
      <c r="D42" s="25"/>
      <c r="E42" s="26"/>
      <c r="F42" s="25"/>
      <c r="G42" s="25">
        <v>17780</v>
      </c>
      <c r="H42" s="25">
        <v>12730</v>
      </c>
      <c r="I42" s="25"/>
      <c r="J42" s="25"/>
      <c r="K42" s="28">
        <v>628</v>
      </c>
      <c r="L42" s="58"/>
      <c r="M42" s="32">
        <v>122650</v>
      </c>
      <c r="N42" s="62"/>
      <c r="O42" s="56">
        <f t="shared" si="2"/>
        <v>1367258</v>
      </c>
      <c r="P42" s="18"/>
      <c r="Q42" s="60">
        <f t="shared" si="1"/>
        <v>102890</v>
      </c>
      <c r="R42" s="32"/>
      <c r="S42" s="32">
        <v>225540</v>
      </c>
    </row>
    <row r="43" spans="1:19" ht="15" customHeight="1" x14ac:dyDescent="0.2">
      <c r="A43" s="22" t="s">
        <v>60</v>
      </c>
      <c r="B43" s="23">
        <v>637300</v>
      </c>
      <c r="C43" s="24"/>
      <c r="D43" s="25"/>
      <c r="E43" s="26">
        <v>407720</v>
      </c>
      <c r="F43" s="25">
        <v>368450</v>
      </c>
      <c r="G43" s="27">
        <v>52560</v>
      </c>
      <c r="H43" s="25">
        <v>95980</v>
      </c>
      <c r="I43" s="25"/>
      <c r="J43" s="25"/>
      <c r="K43" s="28">
        <v>624</v>
      </c>
      <c r="L43" s="58"/>
      <c r="M43" s="32">
        <v>114970</v>
      </c>
      <c r="N43" s="62"/>
      <c r="O43" s="56">
        <f t="shared" si="2"/>
        <v>1677604</v>
      </c>
      <c r="P43" s="18"/>
      <c r="Q43" s="60">
        <f t="shared" si="1"/>
        <v>96450</v>
      </c>
      <c r="R43" s="32"/>
      <c r="S43" s="32">
        <v>211420</v>
      </c>
    </row>
    <row r="44" spans="1:19" ht="15" customHeight="1" x14ac:dyDescent="0.2">
      <c r="A44" s="22" t="s">
        <v>61</v>
      </c>
      <c r="B44" s="23">
        <v>1588480</v>
      </c>
      <c r="C44" s="24"/>
      <c r="D44" s="25"/>
      <c r="E44" s="26"/>
      <c r="F44" s="25">
        <v>394760</v>
      </c>
      <c r="G44" s="27">
        <v>10820</v>
      </c>
      <c r="H44" s="25">
        <v>21920</v>
      </c>
      <c r="I44" s="25">
        <v>1730</v>
      </c>
      <c r="J44" s="25"/>
      <c r="K44" s="28">
        <v>0</v>
      </c>
      <c r="L44" s="58"/>
      <c r="M44" s="32">
        <v>122070</v>
      </c>
      <c r="N44" s="62"/>
      <c r="O44" s="56">
        <f t="shared" si="2"/>
        <v>2139780</v>
      </c>
      <c r="P44" s="18"/>
      <c r="Q44" s="60">
        <f t="shared" si="1"/>
        <v>144850</v>
      </c>
      <c r="R44" s="32"/>
      <c r="S44" s="32">
        <v>266920</v>
      </c>
    </row>
    <row r="45" spans="1:19" ht="15" customHeight="1" x14ac:dyDescent="0.2">
      <c r="A45" s="22" t="s">
        <v>62</v>
      </c>
      <c r="B45" s="23">
        <v>1901780</v>
      </c>
      <c r="C45" s="24"/>
      <c r="D45" s="25"/>
      <c r="E45" s="26">
        <v>265920</v>
      </c>
      <c r="F45" s="25"/>
      <c r="G45" s="27"/>
      <c r="H45" s="25">
        <v>13240</v>
      </c>
      <c r="I45" s="25"/>
      <c r="J45" s="25"/>
      <c r="K45" s="28">
        <v>1065</v>
      </c>
      <c r="L45" s="58"/>
      <c r="M45" s="32">
        <v>64520</v>
      </c>
      <c r="N45" s="62"/>
      <c r="O45" s="56">
        <f t="shared" si="2"/>
        <v>2246525</v>
      </c>
      <c r="P45" s="18"/>
      <c r="Q45" s="60">
        <f t="shared" si="1"/>
        <v>58000</v>
      </c>
      <c r="R45" s="32"/>
      <c r="S45" s="32">
        <v>122520</v>
      </c>
    </row>
    <row r="46" spans="1:19" ht="15.75" customHeight="1" x14ac:dyDescent="0.2">
      <c r="A46" s="22" t="s">
        <v>63</v>
      </c>
      <c r="B46" s="23">
        <v>1244730</v>
      </c>
      <c r="C46" s="24"/>
      <c r="D46" s="25"/>
      <c r="E46" s="26">
        <v>2148510</v>
      </c>
      <c r="F46" s="25"/>
      <c r="G46" s="27"/>
      <c r="H46" s="25">
        <v>73870</v>
      </c>
      <c r="I46" s="25"/>
      <c r="J46" s="25"/>
      <c r="K46" s="28">
        <v>1713</v>
      </c>
      <c r="L46" s="58"/>
      <c r="M46" s="32">
        <v>157990</v>
      </c>
      <c r="N46" s="62"/>
      <c r="O46" s="56">
        <f t="shared" si="2"/>
        <v>3626813</v>
      </c>
      <c r="P46" s="18"/>
      <c r="Q46" s="60">
        <f t="shared" si="1"/>
        <v>134970.00000000006</v>
      </c>
      <c r="R46" s="32"/>
      <c r="S46" s="32">
        <f>(3.3+289.66)*1000</f>
        <v>292960.00000000006</v>
      </c>
    </row>
    <row r="47" spans="1:19" ht="15" customHeight="1" x14ac:dyDescent="0.2">
      <c r="A47" s="22" t="s">
        <v>64</v>
      </c>
      <c r="B47" s="23">
        <v>1286220</v>
      </c>
      <c r="C47" s="24"/>
      <c r="D47" s="25"/>
      <c r="E47" s="26">
        <v>674240</v>
      </c>
      <c r="F47" s="25"/>
      <c r="G47" s="27">
        <v>72170</v>
      </c>
      <c r="H47" s="25">
        <v>156010</v>
      </c>
      <c r="I47" s="25"/>
      <c r="J47" s="25"/>
      <c r="K47" s="28">
        <v>689</v>
      </c>
      <c r="L47" s="58"/>
      <c r="M47" s="32">
        <v>225060</v>
      </c>
      <c r="N47" s="62"/>
      <c r="O47" s="56">
        <f t="shared" si="2"/>
        <v>2414389</v>
      </c>
      <c r="P47" s="18"/>
      <c r="Q47" s="60">
        <f t="shared" si="1"/>
        <v>197800</v>
      </c>
      <c r="R47" s="32"/>
      <c r="S47" s="32">
        <f>(11.4+3.78+407.68)*1000</f>
        <v>422860</v>
      </c>
    </row>
    <row r="48" spans="1:19" ht="15" customHeight="1" x14ac:dyDescent="0.2">
      <c r="A48" s="22" t="s">
        <v>65</v>
      </c>
      <c r="B48" s="23">
        <v>1049650</v>
      </c>
      <c r="C48" s="24"/>
      <c r="D48" s="25"/>
      <c r="E48" s="26"/>
      <c r="F48" s="25"/>
      <c r="G48" s="27"/>
      <c r="H48" s="25"/>
      <c r="I48" s="25"/>
      <c r="J48" s="25"/>
      <c r="K48" s="28">
        <v>0</v>
      </c>
      <c r="L48" s="58"/>
      <c r="M48" s="32">
        <v>114520</v>
      </c>
      <c r="N48" s="62"/>
      <c r="O48" s="56">
        <f t="shared" si="2"/>
        <v>1164170</v>
      </c>
      <c r="P48" s="18"/>
      <c r="Q48" s="60">
        <f t="shared" si="1"/>
        <v>102960</v>
      </c>
      <c r="R48" s="32"/>
      <c r="S48" s="32">
        <v>217480</v>
      </c>
    </row>
    <row r="49" spans="1:23" ht="14.25" customHeight="1" x14ac:dyDescent="0.2">
      <c r="A49" s="36" t="s">
        <v>66</v>
      </c>
      <c r="B49" s="23">
        <v>2107110</v>
      </c>
      <c r="C49" s="24"/>
      <c r="D49" s="25"/>
      <c r="E49" s="26"/>
      <c r="F49" s="25">
        <v>83000</v>
      </c>
      <c r="G49" s="27">
        <v>165810</v>
      </c>
      <c r="H49" s="25"/>
      <c r="I49" s="25"/>
      <c r="J49" s="25"/>
      <c r="K49" s="28">
        <v>856</v>
      </c>
      <c r="L49" s="58"/>
      <c r="M49" s="32">
        <v>185250</v>
      </c>
      <c r="N49" s="62"/>
      <c r="O49" s="56">
        <f>SUM(B49:M49)</f>
        <v>2542026</v>
      </c>
      <c r="P49" s="18"/>
      <c r="Q49" s="60">
        <f t="shared" si="1"/>
        <v>166550</v>
      </c>
      <c r="R49" s="32"/>
      <c r="S49" s="32">
        <v>351800</v>
      </c>
    </row>
    <row r="50" spans="1:23" ht="17.25" customHeight="1" x14ac:dyDescent="0.2">
      <c r="A50" s="22" t="s">
        <v>67</v>
      </c>
      <c r="B50" s="23">
        <v>1234690</v>
      </c>
      <c r="C50" s="24"/>
      <c r="D50" s="25"/>
      <c r="E50" s="26"/>
      <c r="F50" s="25"/>
      <c r="G50" s="27">
        <v>100000</v>
      </c>
      <c r="H50" s="25">
        <v>22900</v>
      </c>
      <c r="I50" s="25"/>
      <c r="J50" s="25"/>
      <c r="K50" s="28">
        <v>856</v>
      </c>
      <c r="L50" s="58"/>
      <c r="M50" s="32">
        <v>118400</v>
      </c>
      <c r="N50" s="62"/>
      <c r="O50" s="56">
        <f t="shared" si="2"/>
        <v>1476846</v>
      </c>
      <c r="P50" s="18"/>
      <c r="Q50" s="60">
        <f t="shared" si="1"/>
        <v>106440</v>
      </c>
      <c r="R50" s="32"/>
      <c r="S50" s="32">
        <v>224840</v>
      </c>
    </row>
    <row r="51" spans="1:23" ht="15" customHeight="1" x14ac:dyDescent="0.2">
      <c r="A51" s="22" t="s">
        <v>68</v>
      </c>
      <c r="B51" s="23">
        <v>4119240</v>
      </c>
      <c r="C51" s="24"/>
      <c r="D51" s="25"/>
      <c r="E51" s="26">
        <v>1432310</v>
      </c>
      <c r="F51" s="25">
        <v>120040</v>
      </c>
      <c r="G51" s="27">
        <v>23340</v>
      </c>
      <c r="H51" s="25">
        <v>43910</v>
      </c>
      <c r="I51" s="25">
        <v>6000</v>
      </c>
      <c r="J51" s="25">
        <v>108320</v>
      </c>
      <c r="K51" s="28">
        <v>184</v>
      </c>
      <c r="L51" s="58"/>
      <c r="M51" s="32">
        <v>313280</v>
      </c>
      <c r="N51" s="62"/>
      <c r="O51" s="56">
        <f t="shared" si="2"/>
        <v>6166624</v>
      </c>
      <c r="P51" s="18"/>
      <c r="Q51" s="60">
        <f t="shared" si="1"/>
        <v>263230</v>
      </c>
      <c r="R51" s="32"/>
      <c r="S51" s="32">
        <f>(573.78+2.73)*1000</f>
        <v>576510</v>
      </c>
    </row>
    <row r="52" spans="1:23" ht="15" customHeight="1" x14ac:dyDescent="0.2">
      <c r="A52" s="22" t="s">
        <v>69</v>
      </c>
      <c r="B52" s="23">
        <v>873050</v>
      </c>
      <c r="C52" s="24"/>
      <c r="D52" s="25"/>
      <c r="E52" s="26"/>
      <c r="F52" s="25">
        <v>142230</v>
      </c>
      <c r="G52" s="27"/>
      <c r="H52" s="25">
        <v>14250</v>
      </c>
      <c r="I52" s="25"/>
      <c r="J52" s="25"/>
      <c r="K52" s="28">
        <v>495</v>
      </c>
      <c r="L52" s="58"/>
      <c r="M52" s="32">
        <v>103940</v>
      </c>
      <c r="N52" s="62"/>
      <c r="O52" s="56">
        <f t="shared" si="2"/>
        <v>1133965</v>
      </c>
      <c r="P52" s="18"/>
      <c r="Q52" s="60">
        <f t="shared" si="1"/>
        <v>93440</v>
      </c>
      <c r="R52" s="32"/>
      <c r="S52" s="32">
        <v>197380</v>
      </c>
    </row>
    <row r="53" spans="1:23" ht="15" customHeight="1" x14ac:dyDescent="0.2">
      <c r="A53" s="22" t="s">
        <v>70</v>
      </c>
      <c r="B53" s="23">
        <v>49160</v>
      </c>
      <c r="C53" s="24"/>
      <c r="D53" s="25">
        <v>155810</v>
      </c>
      <c r="E53" s="26">
        <v>567210</v>
      </c>
      <c r="F53" s="25">
        <v>38620</v>
      </c>
      <c r="G53" s="27">
        <v>5840</v>
      </c>
      <c r="H53" s="25">
        <v>1130</v>
      </c>
      <c r="I53" s="25"/>
      <c r="J53" s="25"/>
      <c r="K53" s="28">
        <v>0</v>
      </c>
      <c r="L53" s="58"/>
      <c r="M53" s="32">
        <v>7450</v>
      </c>
      <c r="N53" s="62"/>
      <c r="O53" s="56">
        <f t="shared" si="2"/>
        <v>825220</v>
      </c>
      <c r="P53" s="18"/>
      <c r="Q53" s="60">
        <f t="shared" si="1"/>
        <v>6250</v>
      </c>
      <c r="R53" s="32"/>
      <c r="S53" s="32">
        <v>13700</v>
      </c>
    </row>
    <row r="54" spans="1:23" ht="15" customHeight="1" x14ac:dyDescent="0.2">
      <c r="A54" s="22" t="s">
        <v>71</v>
      </c>
      <c r="B54" s="23">
        <v>4350810</v>
      </c>
      <c r="C54" s="24"/>
      <c r="D54" s="25"/>
      <c r="E54" s="26"/>
      <c r="F54" s="25">
        <v>496790</v>
      </c>
      <c r="G54" s="27"/>
      <c r="H54" s="25">
        <v>178770</v>
      </c>
      <c r="I54" s="25"/>
      <c r="J54" s="25"/>
      <c r="K54" s="28">
        <v>106</v>
      </c>
      <c r="L54" s="58"/>
      <c r="M54" s="32">
        <v>233920</v>
      </c>
      <c r="N54" s="62"/>
      <c r="O54" s="56">
        <f t="shared" si="2"/>
        <v>5260396</v>
      </c>
      <c r="P54" s="18"/>
      <c r="Q54" s="60">
        <f t="shared" si="1"/>
        <v>277570</v>
      </c>
      <c r="R54" s="32"/>
      <c r="S54" s="32">
        <v>511490</v>
      </c>
    </row>
    <row r="55" spans="1:23" ht="15" customHeight="1" x14ac:dyDescent="0.2">
      <c r="A55" s="22" t="s">
        <v>72</v>
      </c>
      <c r="B55" s="23">
        <v>519800</v>
      </c>
      <c r="C55" s="24"/>
      <c r="D55" s="25"/>
      <c r="E55" s="26"/>
      <c r="F55" s="25">
        <v>828180</v>
      </c>
      <c r="G55" s="27">
        <v>15000</v>
      </c>
      <c r="H55" s="25"/>
      <c r="I55" s="25"/>
      <c r="J55" s="25">
        <v>205900</v>
      </c>
      <c r="K55" s="28">
        <v>0</v>
      </c>
      <c r="L55" s="58"/>
      <c r="M55" s="32">
        <v>0</v>
      </c>
      <c r="N55" s="62"/>
      <c r="O55" s="56">
        <f t="shared" si="2"/>
        <v>1568880</v>
      </c>
      <c r="P55" s="18"/>
      <c r="Q55" s="60">
        <f t="shared" si="1"/>
        <v>0</v>
      </c>
      <c r="R55" s="32"/>
      <c r="S55" s="32">
        <v>0</v>
      </c>
    </row>
    <row r="56" spans="1:23" ht="15" customHeight="1" x14ac:dyDescent="0.2">
      <c r="A56" s="22" t="s">
        <v>73</v>
      </c>
      <c r="B56" s="23">
        <v>279420</v>
      </c>
      <c r="C56" s="24"/>
      <c r="D56" s="25"/>
      <c r="E56" s="26"/>
      <c r="F56" s="25"/>
      <c r="G56" s="27"/>
      <c r="H56" s="25"/>
      <c r="I56" s="25"/>
      <c r="J56" s="25"/>
      <c r="K56" s="28">
        <v>0</v>
      </c>
      <c r="L56" s="58"/>
      <c r="M56" s="32">
        <v>27590</v>
      </c>
      <c r="N56" s="62"/>
      <c r="O56" s="56">
        <f t="shared" si="2"/>
        <v>307010</v>
      </c>
      <c r="P56" s="18"/>
      <c r="Q56" s="60">
        <f t="shared" si="1"/>
        <v>23150</v>
      </c>
      <c r="R56" s="32"/>
      <c r="S56" s="32">
        <v>50740</v>
      </c>
    </row>
    <row r="57" spans="1:23" ht="25.5" customHeight="1" x14ac:dyDescent="0.2">
      <c r="A57" s="22" t="s">
        <v>74</v>
      </c>
      <c r="B57" s="23">
        <v>930520</v>
      </c>
      <c r="C57" s="24"/>
      <c r="D57" s="25"/>
      <c r="E57" s="26"/>
      <c r="F57" s="25">
        <v>2510</v>
      </c>
      <c r="G57" s="27"/>
      <c r="H57" s="25">
        <v>10820</v>
      </c>
      <c r="I57" s="25"/>
      <c r="J57" s="25">
        <v>91610</v>
      </c>
      <c r="K57" s="28">
        <v>686</v>
      </c>
      <c r="L57" s="58"/>
      <c r="M57" s="32">
        <v>17120</v>
      </c>
      <c r="N57" s="62"/>
      <c r="O57" s="56">
        <f t="shared" si="2"/>
        <v>1053266</v>
      </c>
      <c r="P57" s="18"/>
      <c r="Q57" s="60">
        <f t="shared" si="1"/>
        <v>15400.000000000004</v>
      </c>
      <c r="R57" s="32"/>
      <c r="S57" s="32">
        <v>32520.000000000004</v>
      </c>
    </row>
    <row r="58" spans="1:23" ht="19.5" customHeight="1" x14ac:dyDescent="0.2">
      <c r="A58" s="22" t="s">
        <v>75</v>
      </c>
      <c r="B58" s="23">
        <v>470620</v>
      </c>
      <c r="C58" s="24"/>
      <c r="D58" s="25">
        <v>333790</v>
      </c>
      <c r="E58" s="26">
        <v>1160920</v>
      </c>
      <c r="F58" s="25">
        <v>89670</v>
      </c>
      <c r="G58" s="27"/>
      <c r="H58" s="25">
        <v>12950</v>
      </c>
      <c r="I58" s="25"/>
      <c r="J58" s="25"/>
      <c r="K58" s="28">
        <v>0</v>
      </c>
      <c r="L58" s="58"/>
      <c r="M58" s="32">
        <v>20510</v>
      </c>
      <c r="N58" s="62"/>
      <c r="O58" s="56">
        <f t="shared" si="2"/>
        <v>2088460</v>
      </c>
      <c r="P58" s="18"/>
      <c r="Q58" s="60">
        <f t="shared" si="1"/>
        <v>17210</v>
      </c>
      <c r="R58" s="32"/>
      <c r="S58" s="32">
        <v>37720</v>
      </c>
    </row>
    <row r="59" spans="1:23" ht="17.25" customHeight="1" x14ac:dyDescent="0.2">
      <c r="A59" s="22" t="s">
        <v>76</v>
      </c>
      <c r="B59" s="23">
        <v>1536930</v>
      </c>
      <c r="C59" s="24"/>
      <c r="D59" s="25">
        <v>89310</v>
      </c>
      <c r="E59" s="26"/>
      <c r="F59" s="25"/>
      <c r="G59" s="27"/>
      <c r="H59" s="25"/>
      <c r="I59" s="25"/>
      <c r="J59" s="25"/>
      <c r="K59" s="28">
        <v>0</v>
      </c>
      <c r="L59" s="58"/>
      <c r="M59" s="32">
        <v>87810</v>
      </c>
      <c r="N59" s="62"/>
      <c r="O59" s="56">
        <f t="shared" si="2"/>
        <v>1714050</v>
      </c>
      <c r="P59" s="18"/>
      <c r="Q59" s="60">
        <f t="shared" si="1"/>
        <v>78950</v>
      </c>
      <c r="R59" s="32"/>
      <c r="S59" s="32">
        <v>166760</v>
      </c>
      <c r="W59" s="35"/>
    </row>
    <row r="60" spans="1:23" ht="28.5" customHeight="1" x14ac:dyDescent="0.2">
      <c r="A60" s="22" t="s">
        <v>77</v>
      </c>
      <c r="B60" s="23">
        <v>1873790</v>
      </c>
      <c r="C60" s="24"/>
      <c r="D60" s="25">
        <v>106230</v>
      </c>
      <c r="E60" s="26"/>
      <c r="F60" s="25"/>
      <c r="G60" s="27">
        <v>5370</v>
      </c>
      <c r="H60" s="25"/>
      <c r="I60" s="25"/>
      <c r="J60" s="25"/>
      <c r="K60" s="28">
        <v>0</v>
      </c>
      <c r="L60" s="58"/>
      <c r="M60" s="32">
        <v>92860</v>
      </c>
      <c r="N60" s="62"/>
      <c r="O60" s="56">
        <f t="shared" si="2"/>
        <v>2078250</v>
      </c>
      <c r="P60" s="18"/>
      <c r="Q60" s="60">
        <f t="shared" si="1"/>
        <v>83480</v>
      </c>
      <c r="R60" s="32"/>
      <c r="S60" s="32">
        <v>176340</v>
      </c>
      <c r="W60" s="35"/>
    </row>
    <row r="61" spans="1:23" ht="12.75" customHeight="1" x14ac:dyDescent="0.2">
      <c r="A61" s="22" t="s">
        <v>78</v>
      </c>
      <c r="B61" s="23">
        <v>214400</v>
      </c>
      <c r="C61" s="34"/>
      <c r="D61" s="25"/>
      <c r="E61" s="26"/>
      <c r="F61" s="25"/>
      <c r="G61" s="27"/>
      <c r="H61" s="25"/>
      <c r="I61" s="25"/>
      <c r="J61" s="25"/>
      <c r="K61" s="28">
        <v>0</v>
      </c>
      <c r="L61" s="58"/>
      <c r="M61" s="32">
        <v>0</v>
      </c>
      <c r="N61" s="62"/>
      <c r="O61" s="56">
        <f t="shared" si="2"/>
        <v>214400</v>
      </c>
      <c r="P61" s="18"/>
      <c r="Q61" s="60">
        <f t="shared" si="1"/>
        <v>0</v>
      </c>
      <c r="R61" s="32"/>
      <c r="S61" s="32">
        <v>0</v>
      </c>
      <c r="W61" s="35"/>
    </row>
    <row r="62" spans="1:23" ht="12.75" customHeight="1" x14ac:dyDescent="0.2">
      <c r="A62" s="22" t="s">
        <v>79</v>
      </c>
      <c r="B62" s="23">
        <v>227680</v>
      </c>
      <c r="C62" s="24"/>
      <c r="D62" s="25"/>
      <c r="E62" s="26"/>
      <c r="F62" s="25"/>
      <c r="G62" s="27"/>
      <c r="H62" s="25"/>
      <c r="I62" s="25"/>
      <c r="J62" s="25"/>
      <c r="K62" s="28">
        <v>0</v>
      </c>
      <c r="L62" s="58"/>
      <c r="M62" s="32">
        <v>0</v>
      </c>
      <c r="N62" s="62"/>
      <c r="O62" s="56">
        <f t="shared" si="2"/>
        <v>227680</v>
      </c>
      <c r="P62" s="18"/>
      <c r="Q62" s="60">
        <f t="shared" si="1"/>
        <v>0</v>
      </c>
      <c r="R62" s="32"/>
      <c r="S62" s="32">
        <v>0</v>
      </c>
      <c r="W62" s="35"/>
    </row>
    <row r="63" spans="1:23" ht="12.75" customHeight="1" x14ac:dyDescent="0.2">
      <c r="A63" s="22" t="s">
        <v>80</v>
      </c>
      <c r="B63" s="23"/>
      <c r="C63" s="34"/>
      <c r="D63" s="25"/>
      <c r="E63" s="26"/>
      <c r="F63" s="25"/>
      <c r="G63" s="27"/>
      <c r="H63" s="25"/>
      <c r="I63" s="25"/>
      <c r="J63" s="25"/>
      <c r="K63" s="28">
        <v>0</v>
      </c>
      <c r="L63" s="58"/>
      <c r="M63" s="32">
        <v>0</v>
      </c>
      <c r="N63" s="62"/>
      <c r="O63" s="56">
        <f t="shared" si="2"/>
        <v>0</v>
      </c>
      <c r="P63" s="18"/>
      <c r="Q63" s="60">
        <f t="shared" si="1"/>
        <v>0</v>
      </c>
      <c r="R63" s="32"/>
      <c r="S63" s="32">
        <v>0</v>
      </c>
    </row>
    <row r="64" spans="1:23" ht="30.75" customHeight="1" x14ac:dyDescent="0.2">
      <c r="A64" s="22" t="s">
        <v>81</v>
      </c>
      <c r="B64" s="23">
        <v>1223230</v>
      </c>
      <c r="C64" s="24"/>
      <c r="D64" s="25"/>
      <c r="E64" s="26"/>
      <c r="F64" s="25"/>
      <c r="G64" s="27">
        <v>1140</v>
      </c>
      <c r="H64" s="25">
        <v>6890</v>
      </c>
      <c r="I64" s="25"/>
      <c r="J64" s="25"/>
      <c r="K64" s="28">
        <v>1187</v>
      </c>
      <c r="L64" s="58"/>
      <c r="M64" s="32">
        <v>69570</v>
      </c>
      <c r="N64" s="62"/>
      <c r="O64" s="56">
        <f t="shared" si="2"/>
        <v>1302017</v>
      </c>
      <c r="P64" s="18"/>
      <c r="Q64" s="60">
        <f t="shared" si="1"/>
        <v>82560</v>
      </c>
      <c r="R64" s="32"/>
      <c r="S64" s="32">
        <v>152130</v>
      </c>
    </row>
    <row r="65" spans="1:19" ht="12.75" customHeight="1" x14ac:dyDescent="0.2">
      <c r="A65" s="22" t="s">
        <v>82</v>
      </c>
      <c r="B65" s="23">
        <v>863520</v>
      </c>
      <c r="C65" s="24"/>
      <c r="D65" s="25"/>
      <c r="E65" s="26"/>
      <c r="F65" s="25">
        <v>371430</v>
      </c>
      <c r="G65" s="27">
        <v>146880</v>
      </c>
      <c r="H65" s="25"/>
      <c r="I65" s="25"/>
      <c r="J65" s="25"/>
      <c r="K65" s="28">
        <v>992</v>
      </c>
      <c r="L65" s="58"/>
      <c r="M65" s="32">
        <v>67120</v>
      </c>
      <c r="N65" s="62"/>
      <c r="O65" s="56">
        <f t="shared" si="2"/>
        <v>1449942</v>
      </c>
      <c r="P65" s="18"/>
      <c r="Q65" s="60">
        <f t="shared" si="1"/>
        <v>60340</v>
      </c>
      <c r="R65" s="32"/>
      <c r="S65" s="32">
        <v>127460</v>
      </c>
    </row>
    <row r="66" spans="1:19" ht="20.25" customHeight="1" x14ac:dyDescent="0.2">
      <c r="A66" s="22" t="s">
        <v>83</v>
      </c>
      <c r="B66" s="23">
        <v>2362870</v>
      </c>
      <c r="C66" s="24">
        <v>1972280</v>
      </c>
      <c r="D66" s="25"/>
      <c r="E66" s="26"/>
      <c r="F66" s="25">
        <v>346190</v>
      </c>
      <c r="G66" s="27">
        <v>149160</v>
      </c>
      <c r="H66" s="25"/>
      <c r="I66" s="25"/>
      <c r="J66" s="25"/>
      <c r="K66" s="28">
        <v>0</v>
      </c>
      <c r="L66" s="58"/>
      <c r="M66" s="32">
        <v>58080</v>
      </c>
      <c r="N66" s="62"/>
      <c r="O66" s="56">
        <f t="shared" si="2"/>
        <v>4888580</v>
      </c>
      <c r="P66" s="18"/>
      <c r="Q66" s="60">
        <f t="shared" si="1"/>
        <v>68920</v>
      </c>
      <c r="R66" s="32"/>
      <c r="S66" s="32">
        <v>127000</v>
      </c>
    </row>
    <row r="67" spans="1:19" ht="15" customHeight="1" x14ac:dyDescent="0.2">
      <c r="A67" s="22" t="s">
        <v>84</v>
      </c>
      <c r="B67" s="23">
        <v>541870</v>
      </c>
      <c r="C67" s="24"/>
      <c r="D67" s="25"/>
      <c r="E67" s="26">
        <v>457990</v>
      </c>
      <c r="F67" s="25">
        <v>390250</v>
      </c>
      <c r="G67" s="27">
        <v>41710</v>
      </c>
      <c r="H67" s="25">
        <v>15770</v>
      </c>
      <c r="I67" s="25"/>
      <c r="J67" s="25">
        <v>2740</v>
      </c>
      <c r="K67" s="28">
        <v>1511</v>
      </c>
      <c r="L67" s="58"/>
      <c r="M67" s="32">
        <v>104000</v>
      </c>
      <c r="N67" s="62"/>
      <c r="O67" s="56">
        <f t="shared" si="2"/>
        <v>1555841</v>
      </c>
      <c r="P67" s="18"/>
      <c r="Q67" s="60">
        <f t="shared" si="1"/>
        <v>87240</v>
      </c>
      <c r="R67" s="32"/>
      <c r="S67" s="32">
        <v>191240</v>
      </c>
    </row>
    <row r="68" spans="1:19" ht="15" customHeight="1" x14ac:dyDescent="0.2">
      <c r="A68" s="22" t="s">
        <v>85</v>
      </c>
      <c r="B68" s="23">
        <v>2149390</v>
      </c>
      <c r="C68" s="24"/>
      <c r="D68" s="25"/>
      <c r="E68" s="26"/>
      <c r="F68" s="25">
        <v>210090</v>
      </c>
      <c r="G68" s="27"/>
      <c r="H68" s="25">
        <v>74950</v>
      </c>
      <c r="I68" s="25"/>
      <c r="J68" s="25"/>
      <c r="K68" s="28">
        <v>106</v>
      </c>
      <c r="L68" s="58"/>
      <c r="M68" s="32">
        <v>223310</v>
      </c>
      <c r="N68" s="62"/>
      <c r="O68" s="56">
        <f t="shared" si="2"/>
        <v>2657846</v>
      </c>
      <c r="P68" s="18"/>
      <c r="Q68" s="60">
        <f t="shared" si="1"/>
        <v>200770</v>
      </c>
      <c r="R68" s="32"/>
      <c r="S68" s="32">
        <v>424080</v>
      </c>
    </row>
    <row r="69" spans="1:19" ht="15" customHeight="1" x14ac:dyDescent="0.2">
      <c r="A69" s="22" t="s">
        <v>86</v>
      </c>
      <c r="B69" s="23">
        <v>1768900</v>
      </c>
      <c r="C69" s="24"/>
      <c r="D69" s="25">
        <v>165160</v>
      </c>
      <c r="E69" s="26"/>
      <c r="F69" s="25"/>
      <c r="G69" s="27">
        <v>1800</v>
      </c>
      <c r="H69" s="25">
        <v>22960</v>
      </c>
      <c r="I69" s="25"/>
      <c r="J69" s="25"/>
      <c r="K69" s="28">
        <v>0</v>
      </c>
      <c r="L69" s="58"/>
      <c r="M69" s="32">
        <v>0</v>
      </c>
      <c r="N69" s="62"/>
      <c r="O69" s="56">
        <f t="shared" si="2"/>
        <v>1958820</v>
      </c>
      <c r="P69" s="18"/>
      <c r="Q69" s="60">
        <f>(S69-M69)</f>
        <v>0</v>
      </c>
      <c r="R69" s="32"/>
      <c r="S69" s="32">
        <v>0</v>
      </c>
    </row>
    <row r="70" spans="1:19" ht="34.5" customHeight="1" x14ac:dyDescent="0.2">
      <c r="A70" s="37" t="s">
        <v>87</v>
      </c>
      <c r="B70" s="38">
        <f>SUM(B4:B69)</f>
        <v>104647990</v>
      </c>
      <c r="C70" s="38">
        <f t="shared" ref="C70:K70" si="3">SUM(C4:C69)</f>
        <v>5439070</v>
      </c>
      <c r="D70" s="38">
        <f>SUM(D4:D69)</f>
        <v>1480860</v>
      </c>
      <c r="E70" s="39">
        <f t="shared" si="3"/>
        <v>14498455</v>
      </c>
      <c r="F70" s="40">
        <f t="shared" si="3"/>
        <v>18371260</v>
      </c>
      <c r="G70" s="40">
        <f t="shared" si="3"/>
        <v>2004970</v>
      </c>
      <c r="H70" s="40">
        <f t="shared" si="3"/>
        <v>1575700</v>
      </c>
      <c r="I70" s="40">
        <f t="shared" si="3"/>
        <v>46920</v>
      </c>
      <c r="J70" s="40">
        <f t="shared" si="3"/>
        <v>873060</v>
      </c>
      <c r="K70" s="40">
        <f t="shared" si="3"/>
        <v>37698</v>
      </c>
      <c r="L70" s="41"/>
      <c r="M70" s="63">
        <f>(SUM(M4:M69))</f>
        <v>6803230</v>
      </c>
      <c r="N70" s="43"/>
      <c r="O70" s="42">
        <f>SUM(O4:O69)</f>
        <v>155779213</v>
      </c>
      <c r="P70" s="44"/>
      <c r="Q70" s="45">
        <f>SUM(Q4:Q69)</f>
        <v>8350560</v>
      </c>
      <c r="R70" s="46">
        <f>SUM(R4:R69)</f>
        <v>0</v>
      </c>
      <c r="S70" s="64">
        <f>SUM(S4:S69)</f>
        <v>15153790</v>
      </c>
    </row>
    <row r="71" spans="1:19" ht="21" customHeight="1" x14ac:dyDescent="0.2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50"/>
      <c r="O71" s="49"/>
      <c r="P71" s="18"/>
      <c r="Q71" s="49"/>
    </row>
    <row r="72" spans="1:19" ht="27.75" customHeight="1" x14ac:dyDescent="0.2">
      <c r="A72" s="99" t="s">
        <v>88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</row>
    <row r="74" spans="1:19" x14ac:dyDescent="0.2">
      <c r="M74" s="52">
        <f>M70+Q70</f>
        <v>15153790</v>
      </c>
    </row>
  </sheetData>
  <mergeCells count="3">
    <mergeCell ref="A1:M1"/>
    <mergeCell ref="B2:K2"/>
    <mergeCell ref="A72:Q7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14838-2CDF-4E31-A822-BD1EF53F6A81}">
  <sheetPr codeName="Sheet11"/>
  <dimension ref="A1:W74"/>
  <sheetViews>
    <sheetView workbookViewId="0">
      <pane xSplit="1" ySplit="3" topLeftCell="G4" activePane="bottomRight" state="frozen"/>
      <selection activeCell="R70" sqref="R70"/>
      <selection pane="topRight" activeCell="R70" sqref="R70"/>
      <selection pane="bottomLeft" activeCell="R70" sqref="R70"/>
      <selection pane="bottomRight" activeCell="R70" sqref="R70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5" width="11.42578125" style="1" customWidth="1"/>
    <col min="6" max="6" width="13.140625" style="1" customWidth="1"/>
    <col min="7" max="7" width="11.140625" style="51" customWidth="1"/>
    <col min="8" max="8" width="10.7109375" style="1" customWidth="1"/>
    <col min="9" max="9" width="9" style="1" customWidth="1"/>
    <col min="10" max="10" width="9.140625" style="1" customWidth="1"/>
    <col min="11" max="11" width="10" style="1" customWidth="1"/>
    <col min="12" max="12" width="1.7109375" style="1" customWidth="1"/>
    <col min="13" max="13" width="12.42578125" style="53" customWidth="1"/>
    <col min="14" max="14" width="2" style="1" customWidth="1"/>
    <col min="15" max="15" width="13.85546875" style="1" customWidth="1"/>
    <col min="16" max="16" width="3.85546875" style="1" customWidth="1"/>
    <col min="17" max="17" width="12.42578125" style="53" customWidth="1"/>
    <col min="18" max="18" width="12.5703125" style="1" customWidth="1"/>
    <col min="19" max="19" width="12.7109375" style="1" bestFit="1" customWidth="1"/>
    <col min="20" max="22" width="6.85546875" style="1"/>
    <col min="23" max="23" width="10.140625" style="1" bestFit="1" customWidth="1"/>
    <col min="24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1" width="11.42578125" style="1" customWidth="1"/>
    <col min="262" max="262" width="13.140625" style="1" customWidth="1"/>
    <col min="263" max="263" width="11.140625" style="1" customWidth="1"/>
    <col min="264" max="264" width="10.7109375" style="1" customWidth="1"/>
    <col min="265" max="265" width="9" style="1" customWidth="1"/>
    <col min="266" max="266" width="9.140625" style="1" customWidth="1"/>
    <col min="267" max="267" width="10" style="1" customWidth="1"/>
    <col min="268" max="268" width="1.7109375" style="1" customWidth="1"/>
    <col min="269" max="269" width="12.42578125" style="1" customWidth="1"/>
    <col min="270" max="270" width="2" style="1" customWidth="1"/>
    <col min="271" max="271" width="13.85546875" style="1" customWidth="1"/>
    <col min="272" max="272" width="3.85546875" style="1" customWidth="1"/>
    <col min="273" max="273" width="12.42578125" style="1" customWidth="1"/>
    <col min="274" max="274" width="12.5703125" style="1" customWidth="1"/>
    <col min="275" max="275" width="12.7109375" style="1" bestFit="1" customWidth="1"/>
    <col min="276" max="278" width="6.85546875" style="1"/>
    <col min="279" max="279" width="10.140625" style="1" bestFit="1" customWidth="1"/>
    <col min="280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7" width="11.42578125" style="1" customWidth="1"/>
    <col min="518" max="518" width="13.140625" style="1" customWidth="1"/>
    <col min="519" max="519" width="11.140625" style="1" customWidth="1"/>
    <col min="520" max="520" width="10.7109375" style="1" customWidth="1"/>
    <col min="521" max="521" width="9" style="1" customWidth="1"/>
    <col min="522" max="522" width="9.140625" style="1" customWidth="1"/>
    <col min="523" max="523" width="10" style="1" customWidth="1"/>
    <col min="524" max="524" width="1.7109375" style="1" customWidth="1"/>
    <col min="525" max="525" width="12.42578125" style="1" customWidth="1"/>
    <col min="526" max="526" width="2" style="1" customWidth="1"/>
    <col min="527" max="527" width="13.85546875" style="1" customWidth="1"/>
    <col min="528" max="528" width="3.85546875" style="1" customWidth="1"/>
    <col min="529" max="529" width="12.42578125" style="1" customWidth="1"/>
    <col min="530" max="530" width="12.5703125" style="1" customWidth="1"/>
    <col min="531" max="531" width="12.7109375" style="1" bestFit="1" customWidth="1"/>
    <col min="532" max="534" width="6.85546875" style="1"/>
    <col min="535" max="535" width="10.140625" style="1" bestFit="1" customWidth="1"/>
    <col min="536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3" width="11.42578125" style="1" customWidth="1"/>
    <col min="774" max="774" width="13.140625" style="1" customWidth="1"/>
    <col min="775" max="775" width="11.140625" style="1" customWidth="1"/>
    <col min="776" max="776" width="10.7109375" style="1" customWidth="1"/>
    <col min="777" max="777" width="9" style="1" customWidth="1"/>
    <col min="778" max="778" width="9.140625" style="1" customWidth="1"/>
    <col min="779" max="779" width="10" style="1" customWidth="1"/>
    <col min="780" max="780" width="1.7109375" style="1" customWidth="1"/>
    <col min="781" max="781" width="12.42578125" style="1" customWidth="1"/>
    <col min="782" max="782" width="2" style="1" customWidth="1"/>
    <col min="783" max="783" width="13.85546875" style="1" customWidth="1"/>
    <col min="784" max="784" width="3.85546875" style="1" customWidth="1"/>
    <col min="785" max="785" width="12.42578125" style="1" customWidth="1"/>
    <col min="786" max="786" width="12.5703125" style="1" customWidth="1"/>
    <col min="787" max="787" width="12.7109375" style="1" bestFit="1" customWidth="1"/>
    <col min="788" max="790" width="6.85546875" style="1"/>
    <col min="791" max="791" width="10.140625" style="1" bestFit="1" customWidth="1"/>
    <col min="792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29" width="11.42578125" style="1" customWidth="1"/>
    <col min="1030" max="1030" width="13.140625" style="1" customWidth="1"/>
    <col min="1031" max="1031" width="11.140625" style="1" customWidth="1"/>
    <col min="1032" max="1032" width="10.7109375" style="1" customWidth="1"/>
    <col min="1033" max="1033" width="9" style="1" customWidth="1"/>
    <col min="1034" max="1034" width="9.140625" style="1" customWidth="1"/>
    <col min="1035" max="1035" width="10" style="1" customWidth="1"/>
    <col min="1036" max="1036" width="1.7109375" style="1" customWidth="1"/>
    <col min="1037" max="1037" width="12.42578125" style="1" customWidth="1"/>
    <col min="1038" max="1038" width="2" style="1" customWidth="1"/>
    <col min="1039" max="1039" width="13.85546875" style="1" customWidth="1"/>
    <col min="1040" max="1040" width="3.85546875" style="1" customWidth="1"/>
    <col min="1041" max="1041" width="12.42578125" style="1" customWidth="1"/>
    <col min="1042" max="1042" width="12.5703125" style="1" customWidth="1"/>
    <col min="1043" max="1043" width="12.7109375" style="1" bestFit="1" customWidth="1"/>
    <col min="1044" max="1046" width="6.85546875" style="1"/>
    <col min="1047" max="1047" width="10.140625" style="1" bestFit="1" customWidth="1"/>
    <col min="1048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5" width="11.42578125" style="1" customWidth="1"/>
    <col min="1286" max="1286" width="13.140625" style="1" customWidth="1"/>
    <col min="1287" max="1287" width="11.140625" style="1" customWidth="1"/>
    <col min="1288" max="1288" width="10.7109375" style="1" customWidth="1"/>
    <col min="1289" max="1289" width="9" style="1" customWidth="1"/>
    <col min="1290" max="1290" width="9.140625" style="1" customWidth="1"/>
    <col min="1291" max="1291" width="10" style="1" customWidth="1"/>
    <col min="1292" max="1292" width="1.7109375" style="1" customWidth="1"/>
    <col min="1293" max="1293" width="12.42578125" style="1" customWidth="1"/>
    <col min="1294" max="1294" width="2" style="1" customWidth="1"/>
    <col min="1295" max="1295" width="13.85546875" style="1" customWidth="1"/>
    <col min="1296" max="1296" width="3.85546875" style="1" customWidth="1"/>
    <col min="1297" max="1297" width="12.42578125" style="1" customWidth="1"/>
    <col min="1298" max="1298" width="12.5703125" style="1" customWidth="1"/>
    <col min="1299" max="1299" width="12.7109375" style="1" bestFit="1" customWidth="1"/>
    <col min="1300" max="1302" width="6.85546875" style="1"/>
    <col min="1303" max="1303" width="10.140625" style="1" bestFit="1" customWidth="1"/>
    <col min="1304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1" width="11.42578125" style="1" customWidth="1"/>
    <col min="1542" max="1542" width="13.140625" style="1" customWidth="1"/>
    <col min="1543" max="1543" width="11.140625" style="1" customWidth="1"/>
    <col min="1544" max="1544" width="10.7109375" style="1" customWidth="1"/>
    <col min="1545" max="1545" width="9" style="1" customWidth="1"/>
    <col min="1546" max="1546" width="9.140625" style="1" customWidth="1"/>
    <col min="1547" max="1547" width="10" style="1" customWidth="1"/>
    <col min="1548" max="1548" width="1.7109375" style="1" customWidth="1"/>
    <col min="1549" max="1549" width="12.42578125" style="1" customWidth="1"/>
    <col min="1550" max="1550" width="2" style="1" customWidth="1"/>
    <col min="1551" max="1551" width="13.85546875" style="1" customWidth="1"/>
    <col min="1552" max="1552" width="3.85546875" style="1" customWidth="1"/>
    <col min="1553" max="1553" width="12.42578125" style="1" customWidth="1"/>
    <col min="1554" max="1554" width="12.5703125" style="1" customWidth="1"/>
    <col min="1555" max="1555" width="12.7109375" style="1" bestFit="1" customWidth="1"/>
    <col min="1556" max="1558" width="6.85546875" style="1"/>
    <col min="1559" max="1559" width="10.140625" style="1" bestFit="1" customWidth="1"/>
    <col min="1560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7" width="11.42578125" style="1" customWidth="1"/>
    <col min="1798" max="1798" width="13.140625" style="1" customWidth="1"/>
    <col min="1799" max="1799" width="11.140625" style="1" customWidth="1"/>
    <col min="1800" max="1800" width="10.7109375" style="1" customWidth="1"/>
    <col min="1801" max="1801" width="9" style="1" customWidth="1"/>
    <col min="1802" max="1802" width="9.140625" style="1" customWidth="1"/>
    <col min="1803" max="1803" width="10" style="1" customWidth="1"/>
    <col min="1804" max="1804" width="1.7109375" style="1" customWidth="1"/>
    <col min="1805" max="1805" width="12.42578125" style="1" customWidth="1"/>
    <col min="1806" max="1806" width="2" style="1" customWidth="1"/>
    <col min="1807" max="1807" width="13.85546875" style="1" customWidth="1"/>
    <col min="1808" max="1808" width="3.85546875" style="1" customWidth="1"/>
    <col min="1809" max="1809" width="12.42578125" style="1" customWidth="1"/>
    <col min="1810" max="1810" width="12.5703125" style="1" customWidth="1"/>
    <col min="1811" max="1811" width="12.7109375" style="1" bestFit="1" customWidth="1"/>
    <col min="1812" max="1814" width="6.85546875" style="1"/>
    <col min="1815" max="1815" width="10.140625" style="1" bestFit="1" customWidth="1"/>
    <col min="1816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3" width="11.42578125" style="1" customWidth="1"/>
    <col min="2054" max="2054" width="13.140625" style="1" customWidth="1"/>
    <col min="2055" max="2055" width="11.140625" style="1" customWidth="1"/>
    <col min="2056" max="2056" width="10.7109375" style="1" customWidth="1"/>
    <col min="2057" max="2057" width="9" style="1" customWidth="1"/>
    <col min="2058" max="2058" width="9.140625" style="1" customWidth="1"/>
    <col min="2059" max="2059" width="10" style="1" customWidth="1"/>
    <col min="2060" max="2060" width="1.7109375" style="1" customWidth="1"/>
    <col min="2061" max="2061" width="12.42578125" style="1" customWidth="1"/>
    <col min="2062" max="2062" width="2" style="1" customWidth="1"/>
    <col min="2063" max="2063" width="13.85546875" style="1" customWidth="1"/>
    <col min="2064" max="2064" width="3.85546875" style="1" customWidth="1"/>
    <col min="2065" max="2065" width="12.42578125" style="1" customWidth="1"/>
    <col min="2066" max="2066" width="12.5703125" style="1" customWidth="1"/>
    <col min="2067" max="2067" width="12.7109375" style="1" bestFit="1" customWidth="1"/>
    <col min="2068" max="2070" width="6.85546875" style="1"/>
    <col min="2071" max="2071" width="10.140625" style="1" bestFit="1" customWidth="1"/>
    <col min="2072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09" width="11.42578125" style="1" customWidth="1"/>
    <col min="2310" max="2310" width="13.140625" style="1" customWidth="1"/>
    <col min="2311" max="2311" width="11.140625" style="1" customWidth="1"/>
    <col min="2312" max="2312" width="10.7109375" style="1" customWidth="1"/>
    <col min="2313" max="2313" width="9" style="1" customWidth="1"/>
    <col min="2314" max="2314" width="9.140625" style="1" customWidth="1"/>
    <col min="2315" max="2315" width="10" style="1" customWidth="1"/>
    <col min="2316" max="2316" width="1.7109375" style="1" customWidth="1"/>
    <col min="2317" max="2317" width="12.42578125" style="1" customWidth="1"/>
    <col min="2318" max="2318" width="2" style="1" customWidth="1"/>
    <col min="2319" max="2319" width="13.85546875" style="1" customWidth="1"/>
    <col min="2320" max="2320" width="3.85546875" style="1" customWidth="1"/>
    <col min="2321" max="2321" width="12.42578125" style="1" customWidth="1"/>
    <col min="2322" max="2322" width="12.5703125" style="1" customWidth="1"/>
    <col min="2323" max="2323" width="12.7109375" style="1" bestFit="1" customWidth="1"/>
    <col min="2324" max="2326" width="6.85546875" style="1"/>
    <col min="2327" max="2327" width="10.140625" style="1" bestFit="1" customWidth="1"/>
    <col min="2328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5" width="11.42578125" style="1" customWidth="1"/>
    <col min="2566" max="2566" width="13.140625" style="1" customWidth="1"/>
    <col min="2567" max="2567" width="11.140625" style="1" customWidth="1"/>
    <col min="2568" max="2568" width="10.7109375" style="1" customWidth="1"/>
    <col min="2569" max="2569" width="9" style="1" customWidth="1"/>
    <col min="2570" max="2570" width="9.140625" style="1" customWidth="1"/>
    <col min="2571" max="2571" width="10" style="1" customWidth="1"/>
    <col min="2572" max="2572" width="1.7109375" style="1" customWidth="1"/>
    <col min="2573" max="2573" width="12.42578125" style="1" customWidth="1"/>
    <col min="2574" max="2574" width="2" style="1" customWidth="1"/>
    <col min="2575" max="2575" width="13.85546875" style="1" customWidth="1"/>
    <col min="2576" max="2576" width="3.85546875" style="1" customWidth="1"/>
    <col min="2577" max="2577" width="12.42578125" style="1" customWidth="1"/>
    <col min="2578" max="2578" width="12.5703125" style="1" customWidth="1"/>
    <col min="2579" max="2579" width="12.7109375" style="1" bestFit="1" customWidth="1"/>
    <col min="2580" max="2582" width="6.85546875" style="1"/>
    <col min="2583" max="2583" width="10.140625" style="1" bestFit="1" customWidth="1"/>
    <col min="2584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1" width="11.42578125" style="1" customWidth="1"/>
    <col min="2822" max="2822" width="13.140625" style="1" customWidth="1"/>
    <col min="2823" max="2823" width="11.140625" style="1" customWidth="1"/>
    <col min="2824" max="2824" width="10.7109375" style="1" customWidth="1"/>
    <col min="2825" max="2825" width="9" style="1" customWidth="1"/>
    <col min="2826" max="2826" width="9.140625" style="1" customWidth="1"/>
    <col min="2827" max="2827" width="10" style="1" customWidth="1"/>
    <col min="2828" max="2828" width="1.7109375" style="1" customWidth="1"/>
    <col min="2829" max="2829" width="12.42578125" style="1" customWidth="1"/>
    <col min="2830" max="2830" width="2" style="1" customWidth="1"/>
    <col min="2831" max="2831" width="13.85546875" style="1" customWidth="1"/>
    <col min="2832" max="2832" width="3.85546875" style="1" customWidth="1"/>
    <col min="2833" max="2833" width="12.42578125" style="1" customWidth="1"/>
    <col min="2834" max="2834" width="12.5703125" style="1" customWidth="1"/>
    <col min="2835" max="2835" width="12.7109375" style="1" bestFit="1" customWidth="1"/>
    <col min="2836" max="2838" width="6.85546875" style="1"/>
    <col min="2839" max="2839" width="10.140625" style="1" bestFit="1" customWidth="1"/>
    <col min="2840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7" width="11.42578125" style="1" customWidth="1"/>
    <col min="3078" max="3078" width="13.140625" style="1" customWidth="1"/>
    <col min="3079" max="3079" width="11.140625" style="1" customWidth="1"/>
    <col min="3080" max="3080" width="10.7109375" style="1" customWidth="1"/>
    <col min="3081" max="3081" width="9" style="1" customWidth="1"/>
    <col min="3082" max="3082" width="9.140625" style="1" customWidth="1"/>
    <col min="3083" max="3083" width="10" style="1" customWidth="1"/>
    <col min="3084" max="3084" width="1.7109375" style="1" customWidth="1"/>
    <col min="3085" max="3085" width="12.42578125" style="1" customWidth="1"/>
    <col min="3086" max="3086" width="2" style="1" customWidth="1"/>
    <col min="3087" max="3087" width="13.85546875" style="1" customWidth="1"/>
    <col min="3088" max="3088" width="3.85546875" style="1" customWidth="1"/>
    <col min="3089" max="3089" width="12.42578125" style="1" customWidth="1"/>
    <col min="3090" max="3090" width="12.5703125" style="1" customWidth="1"/>
    <col min="3091" max="3091" width="12.7109375" style="1" bestFit="1" customWidth="1"/>
    <col min="3092" max="3094" width="6.85546875" style="1"/>
    <col min="3095" max="3095" width="10.140625" style="1" bestFit="1" customWidth="1"/>
    <col min="3096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3" width="11.42578125" style="1" customWidth="1"/>
    <col min="3334" max="3334" width="13.140625" style="1" customWidth="1"/>
    <col min="3335" max="3335" width="11.140625" style="1" customWidth="1"/>
    <col min="3336" max="3336" width="10.7109375" style="1" customWidth="1"/>
    <col min="3337" max="3337" width="9" style="1" customWidth="1"/>
    <col min="3338" max="3338" width="9.140625" style="1" customWidth="1"/>
    <col min="3339" max="3339" width="10" style="1" customWidth="1"/>
    <col min="3340" max="3340" width="1.7109375" style="1" customWidth="1"/>
    <col min="3341" max="3341" width="12.42578125" style="1" customWidth="1"/>
    <col min="3342" max="3342" width="2" style="1" customWidth="1"/>
    <col min="3343" max="3343" width="13.85546875" style="1" customWidth="1"/>
    <col min="3344" max="3344" width="3.85546875" style="1" customWidth="1"/>
    <col min="3345" max="3345" width="12.42578125" style="1" customWidth="1"/>
    <col min="3346" max="3346" width="12.5703125" style="1" customWidth="1"/>
    <col min="3347" max="3347" width="12.7109375" style="1" bestFit="1" customWidth="1"/>
    <col min="3348" max="3350" width="6.85546875" style="1"/>
    <col min="3351" max="3351" width="10.140625" style="1" bestFit="1" customWidth="1"/>
    <col min="3352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89" width="11.42578125" style="1" customWidth="1"/>
    <col min="3590" max="3590" width="13.140625" style="1" customWidth="1"/>
    <col min="3591" max="3591" width="11.140625" style="1" customWidth="1"/>
    <col min="3592" max="3592" width="10.7109375" style="1" customWidth="1"/>
    <col min="3593" max="3593" width="9" style="1" customWidth="1"/>
    <col min="3594" max="3594" width="9.140625" style="1" customWidth="1"/>
    <col min="3595" max="3595" width="10" style="1" customWidth="1"/>
    <col min="3596" max="3596" width="1.7109375" style="1" customWidth="1"/>
    <col min="3597" max="3597" width="12.42578125" style="1" customWidth="1"/>
    <col min="3598" max="3598" width="2" style="1" customWidth="1"/>
    <col min="3599" max="3599" width="13.85546875" style="1" customWidth="1"/>
    <col min="3600" max="3600" width="3.85546875" style="1" customWidth="1"/>
    <col min="3601" max="3601" width="12.42578125" style="1" customWidth="1"/>
    <col min="3602" max="3602" width="12.5703125" style="1" customWidth="1"/>
    <col min="3603" max="3603" width="12.7109375" style="1" bestFit="1" customWidth="1"/>
    <col min="3604" max="3606" width="6.85546875" style="1"/>
    <col min="3607" max="3607" width="10.140625" style="1" bestFit="1" customWidth="1"/>
    <col min="3608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5" width="11.42578125" style="1" customWidth="1"/>
    <col min="3846" max="3846" width="13.140625" style="1" customWidth="1"/>
    <col min="3847" max="3847" width="11.140625" style="1" customWidth="1"/>
    <col min="3848" max="3848" width="10.7109375" style="1" customWidth="1"/>
    <col min="3849" max="3849" width="9" style="1" customWidth="1"/>
    <col min="3850" max="3850" width="9.140625" style="1" customWidth="1"/>
    <col min="3851" max="3851" width="10" style="1" customWidth="1"/>
    <col min="3852" max="3852" width="1.7109375" style="1" customWidth="1"/>
    <col min="3853" max="3853" width="12.42578125" style="1" customWidth="1"/>
    <col min="3854" max="3854" width="2" style="1" customWidth="1"/>
    <col min="3855" max="3855" width="13.85546875" style="1" customWidth="1"/>
    <col min="3856" max="3856" width="3.85546875" style="1" customWidth="1"/>
    <col min="3857" max="3857" width="12.42578125" style="1" customWidth="1"/>
    <col min="3858" max="3858" width="12.5703125" style="1" customWidth="1"/>
    <col min="3859" max="3859" width="12.7109375" style="1" bestFit="1" customWidth="1"/>
    <col min="3860" max="3862" width="6.85546875" style="1"/>
    <col min="3863" max="3863" width="10.140625" style="1" bestFit="1" customWidth="1"/>
    <col min="3864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1" width="11.42578125" style="1" customWidth="1"/>
    <col min="4102" max="4102" width="13.140625" style="1" customWidth="1"/>
    <col min="4103" max="4103" width="11.140625" style="1" customWidth="1"/>
    <col min="4104" max="4104" width="10.7109375" style="1" customWidth="1"/>
    <col min="4105" max="4105" width="9" style="1" customWidth="1"/>
    <col min="4106" max="4106" width="9.140625" style="1" customWidth="1"/>
    <col min="4107" max="4107" width="10" style="1" customWidth="1"/>
    <col min="4108" max="4108" width="1.7109375" style="1" customWidth="1"/>
    <col min="4109" max="4109" width="12.42578125" style="1" customWidth="1"/>
    <col min="4110" max="4110" width="2" style="1" customWidth="1"/>
    <col min="4111" max="4111" width="13.85546875" style="1" customWidth="1"/>
    <col min="4112" max="4112" width="3.85546875" style="1" customWidth="1"/>
    <col min="4113" max="4113" width="12.42578125" style="1" customWidth="1"/>
    <col min="4114" max="4114" width="12.5703125" style="1" customWidth="1"/>
    <col min="4115" max="4115" width="12.7109375" style="1" bestFit="1" customWidth="1"/>
    <col min="4116" max="4118" width="6.85546875" style="1"/>
    <col min="4119" max="4119" width="10.140625" style="1" bestFit="1" customWidth="1"/>
    <col min="4120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7" width="11.42578125" style="1" customWidth="1"/>
    <col min="4358" max="4358" width="13.140625" style="1" customWidth="1"/>
    <col min="4359" max="4359" width="11.140625" style="1" customWidth="1"/>
    <col min="4360" max="4360" width="10.7109375" style="1" customWidth="1"/>
    <col min="4361" max="4361" width="9" style="1" customWidth="1"/>
    <col min="4362" max="4362" width="9.140625" style="1" customWidth="1"/>
    <col min="4363" max="4363" width="10" style="1" customWidth="1"/>
    <col min="4364" max="4364" width="1.7109375" style="1" customWidth="1"/>
    <col min="4365" max="4365" width="12.42578125" style="1" customWidth="1"/>
    <col min="4366" max="4366" width="2" style="1" customWidth="1"/>
    <col min="4367" max="4367" width="13.85546875" style="1" customWidth="1"/>
    <col min="4368" max="4368" width="3.85546875" style="1" customWidth="1"/>
    <col min="4369" max="4369" width="12.42578125" style="1" customWidth="1"/>
    <col min="4370" max="4370" width="12.5703125" style="1" customWidth="1"/>
    <col min="4371" max="4371" width="12.7109375" style="1" bestFit="1" customWidth="1"/>
    <col min="4372" max="4374" width="6.85546875" style="1"/>
    <col min="4375" max="4375" width="10.140625" style="1" bestFit="1" customWidth="1"/>
    <col min="4376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3" width="11.42578125" style="1" customWidth="1"/>
    <col min="4614" max="4614" width="13.140625" style="1" customWidth="1"/>
    <col min="4615" max="4615" width="11.140625" style="1" customWidth="1"/>
    <col min="4616" max="4616" width="10.7109375" style="1" customWidth="1"/>
    <col min="4617" max="4617" width="9" style="1" customWidth="1"/>
    <col min="4618" max="4618" width="9.140625" style="1" customWidth="1"/>
    <col min="4619" max="4619" width="10" style="1" customWidth="1"/>
    <col min="4620" max="4620" width="1.7109375" style="1" customWidth="1"/>
    <col min="4621" max="4621" width="12.42578125" style="1" customWidth="1"/>
    <col min="4622" max="4622" width="2" style="1" customWidth="1"/>
    <col min="4623" max="4623" width="13.85546875" style="1" customWidth="1"/>
    <col min="4624" max="4624" width="3.85546875" style="1" customWidth="1"/>
    <col min="4625" max="4625" width="12.42578125" style="1" customWidth="1"/>
    <col min="4626" max="4626" width="12.5703125" style="1" customWidth="1"/>
    <col min="4627" max="4627" width="12.7109375" style="1" bestFit="1" customWidth="1"/>
    <col min="4628" max="4630" width="6.85546875" style="1"/>
    <col min="4631" max="4631" width="10.140625" style="1" bestFit="1" customWidth="1"/>
    <col min="4632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69" width="11.42578125" style="1" customWidth="1"/>
    <col min="4870" max="4870" width="13.140625" style="1" customWidth="1"/>
    <col min="4871" max="4871" width="11.140625" style="1" customWidth="1"/>
    <col min="4872" max="4872" width="10.7109375" style="1" customWidth="1"/>
    <col min="4873" max="4873" width="9" style="1" customWidth="1"/>
    <col min="4874" max="4874" width="9.140625" style="1" customWidth="1"/>
    <col min="4875" max="4875" width="10" style="1" customWidth="1"/>
    <col min="4876" max="4876" width="1.7109375" style="1" customWidth="1"/>
    <col min="4877" max="4877" width="12.42578125" style="1" customWidth="1"/>
    <col min="4878" max="4878" width="2" style="1" customWidth="1"/>
    <col min="4879" max="4879" width="13.85546875" style="1" customWidth="1"/>
    <col min="4880" max="4880" width="3.85546875" style="1" customWidth="1"/>
    <col min="4881" max="4881" width="12.42578125" style="1" customWidth="1"/>
    <col min="4882" max="4882" width="12.5703125" style="1" customWidth="1"/>
    <col min="4883" max="4883" width="12.7109375" style="1" bestFit="1" customWidth="1"/>
    <col min="4884" max="4886" width="6.85546875" style="1"/>
    <col min="4887" max="4887" width="10.140625" style="1" bestFit="1" customWidth="1"/>
    <col min="4888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5" width="11.42578125" style="1" customWidth="1"/>
    <col min="5126" max="5126" width="13.140625" style="1" customWidth="1"/>
    <col min="5127" max="5127" width="11.140625" style="1" customWidth="1"/>
    <col min="5128" max="5128" width="10.7109375" style="1" customWidth="1"/>
    <col min="5129" max="5129" width="9" style="1" customWidth="1"/>
    <col min="5130" max="5130" width="9.140625" style="1" customWidth="1"/>
    <col min="5131" max="5131" width="10" style="1" customWidth="1"/>
    <col min="5132" max="5132" width="1.7109375" style="1" customWidth="1"/>
    <col min="5133" max="5133" width="12.42578125" style="1" customWidth="1"/>
    <col min="5134" max="5134" width="2" style="1" customWidth="1"/>
    <col min="5135" max="5135" width="13.85546875" style="1" customWidth="1"/>
    <col min="5136" max="5136" width="3.85546875" style="1" customWidth="1"/>
    <col min="5137" max="5137" width="12.42578125" style="1" customWidth="1"/>
    <col min="5138" max="5138" width="12.5703125" style="1" customWidth="1"/>
    <col min="5139" max="5139" width="12.7109375" style="1" bestFit="1" customWidth="1"/>
    <col min="5140" max="5142" width="6.85546875" style="1"/>
    <col min="5143" max="5143" width="10.140625" style="1" bestFit="1" customWidth="1"/>
    <col min="5144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1" width="11.42578125" style="1" customWidth="1"/>
    <col min="5382" max="5382" width="13.140625" style="1" customWidth="1"/>
    <col min="5383" max="5383" width="11.140625" style="1" customWidth="1"/>
    <col min="5384" max="5384" width="10.7109375" style="1" customWidth="1"/>
    <col min="5385" max="5385" width="9" style="1" customWidth="1"/>
    <col min="5386" max="5386" width="9.140625" style="1" customWidth="1"/>
    <col min="5387" max="5387" width="10" style="1" customWidth="1"/>
    <col min="5388" max="5388" width="1.7109375" style="1" customWidth="1"/>
    <col min="5389" max="5389" width="12.42578125" style="1" customWidth="1"/>
    <col min="5390" max="5390" width="2" style="1" customWidth="1"/>
    <col min="5391" max="5391" width="13.85546875" style="1" customWidth="1"/>
    <col min="5392" max="5392" width="3.85546875" style="1" customWidth="1"/>
    <col min="5393" max="5393" width="12.42578125" style="1" customWidth="1"/>
    <col min="5394" max="5394" width="12.5703125" style="1" customWidth="1"/>
    <col min="5395" max="5395" width="12.7109375" style="1" bestFit="1" customWidth="1"/>
    <col min="5396" max="5398" width="6.85546875" style="1"/>
    <col min="5399" max="5399" width="10.140625" style="1" bestFit="1" customWidth="1"/>
    <col min="5400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7" width="11.42578125" style="1" customWidth="1"/>
    <col min="5638" max="5638" width="13.140625" style="1" customWidth="1"/>
    <col min="5639" max="5639" width="11.140625" style="1" customWidth="1"/>
    <col min="5640" max="5640" width="10.7109375" style="1" customWidth="1"/>
    <col min="5641" max="5641" width="9" style="1" customWidth="1"/>
    <col min="5642" max="5642" width="9.140625" style="1" customWidth="1"/>
    <col min="5643" max="5643" width="10" style="1" customWidth="1"/>
    <col min="5644" max="5644" width="1.7109375" style="1" customWidth="1"/>
    <col min="5645" max="5645" width="12.42578125" style="1" customWidth="1"/>
    <col min="5646" max="5646" width="2" style="1" customWidth="1"/>
    <col min="5647" max="5647" width="13.85546875" style="1" customWidth="1"/>
    <col min="5648" max="5648" width="3.85546875" style="1" customWidth="1"/>
    <col min="5649" max="5649" width="12.42578125" style="1" customWidth="1"/>
    <col min="5650" max="5650" width="12.5703125" style="1" customWidth="1"/>
    <col min="5651" max="5651" width="12.7109375" style="1" bestFit="1" customWidth="1"/>
    <col min="5652" max="5654" width="6.85546875" style="1"/>
    <col min="5655" max="5655" width="10.140625" style="1" bestFit="1" customWidth="1"/>
    <col min="5656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3" width="11.42578125" style="1" customWidth="1"/>
    <col min="5894" max="5894" width="13.140625" style="1" customWidth="1"/>
    <col min="5895" max="5895" width="11.140625" style="1" customWidth="1"/>
    <col min="5896" max="5896" width="10.7109375" style="1" customWidth="1"/>
    <col min="5897" max="5897" width="9" style="1" customWidth="1"/>
    <col min="5898" max="5898" width="9.140625" style="1" customWidth="1"/>
    <col min="5899" max="5899" width="10" style="1" customWidth="1"/>
    <col min="5900" max="5900" width="1.7109375" style="1" customWidth="1"/>
    <col min="5901" max="5901" width="12.42578125" style="1" customWidth="1"/>
    <col min="5902" max="5902" width="2" style="1" customWidth="1"/>
    <col min="5903" max="5903" width="13.85546875" style="1" customWidth="1"/>
    <col min="5904" max="5904" width="3.85546875" style="1" customWidth="1"/>
    <col min="5905" max="5905" width="12.42578125" style="1" customWidth="1"/>
    <col min="5906" max="5906" width="12.5703125" style="1" customWidth="1"/>
    <col min="5907" max="5907" width="12.7109375" style="1" bestFit="1" customWidth="1"/>
    <col min="5908" max="5910" width="6.85546875" style="1"/>
    <col min="5911" max="5911" width="10.140625" style="1" bestFit="1" customWidth="1"/>
    <col min="5912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49" width="11.42578125" style="1" customWidth="1"/>
    <col min="6150" max="6150" width="13.140625" style="1" customWidth="1"/>
    <col min="6151" max="6151" width="11.140625" style="1" customWidth="1"/>
    <col min="6152" max="6152" width="10.7109375" style="1" customWidth="1"/>
    <col min="6153" max="6153" width="9" style="1" customWidth="1"/>
    <col min="6154" max="6154" width="9.140625" style="1" customWidth="1"/>
    <col min="6155" max="6155" width="10" style="1" customWidth="1"/>
    <col min="6156" max="6156" width="1.7109375" style="1" customWidth="1"/>
    <col min="6157" max="6157" width="12.42578125" style="1" customWidth="1"/>
    <col min="6158" max="6158" width="2" style="1" customWidth="1"/>
    <col min="6159" max="6159" width="13.85546875" style="1" customWidth="1"/>
    <col min="6160" max="6160" width="3.85546875" style="1" customWidth="1"/>
    <col min="6161" max="6161" width="12.42578125" style="1" customWidth="1"/>
    <col min="6162" max="6162" width="12.5703125" style="1" customWidth="1"/>
    <col min="6163" max="6163" width="12.7109375" style="1" bestFit="1" customWidth="1"/>
    <col min="6164" max="6166" width="6.85546875" style="1"/>
    <col min="6167" max="6167" width="10.140625" style="1" bestFit="1" customWidth="1"/>
    <col min="6168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5" width="11.42578125" style="1" customWidth="1"/>
    <col min="6406" max="6406" width="13.140625" style="1" customWidth="1"/>
    <col min="6407" max="6407" width="11.140625" style="1" customWidth="1"/>
    <col min="6408" max="6408" width="10.7109375" style="1" customWidth="1"/>
    <col min="6409" max="6409" width="9" style="1" customWidth="1"/>
    <col min="6410" max="6410" width="9.140625" style="1" customWidth="1"/>
    <col min="6411" max="6411" width="10" style="1" customWidth="1"/>
    <col min="6412" max="6412" width="1.7109375" style="1" customWidth="1"/>
    <col min="6413" max="6413" width="12.42578125" style="1" customWidth="1"/>
    <col min="6414" max="6414" width="2" style="1" customWidth="1"/>
    <col min="6415" max="6415" width="13.85546875" style="1" customWidth="1"/>
    <col min="6416" max="6416" width="3.85546875" style="1" customWidth="1"/>
    <col min="6417" max="6417" width="12.42578125" style="1" customWidth="1"/>
    <col min="6418" max="6418" width="12.5703125" style="1" customWidth="1"/>
    <col min="6419" max="6419" width="12.7109375" style="1" bestFit="1" customWidth="1"/>
    <col min="6420" max="6422" width="6.85546875" style="1"/>
    <col min="6423" max="6423" width="10.140625" style="1" bestFit="1" customWidth="1"/>
    <col min="6424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1" width="11.42578125" style="1" customWidth="1"/>
    <col min="6662" max="6662" width="13.140625" style="1" customWidth="1"/>
    <col min="6663" max="6663" width="11.140625" style="1" customWidth="1"/>
    <col min="6664" max="6664" width="10.7109375" style="1" customWidth="1"/>
    <col min="6665" max="6665" width="9" style="1" customWidth="1"/>
    <col min="6666" max="6666" width="9.140625" style="1" customWidth="1"/>
    <col min="6667" max="6667" width="10" style="1" customWidth="1"/>
    <col min="6668" max="6668" width="1.7109375" style="1" customWidth="1"/>
    <col min="6669" max="6669" width="12.42578125" style="1" customWidth="1"/>
    <col min="6670" max="6670" width="2" style="1" customWidth="1"/>
    <col min="6671" max="6671" width="13.85546875" style="1" customWidth="1"/>
    <col min="6672" max="6672" width="3.85546875" style="1" customWidth="1"/>
    <col min="6673" max="6673" width="12.42578125" style="1" customWidth="1"/>
    <col min="6674" max="6674" width="12.5703125" style="1" customWidth="1"/>
    <col min="6675" max="6675" width="12.7109375" style="1" bestFit="1" customWidth="1"/>
    <col min="6676" max="6678" width="6.85546875" style="1"/>
    <col min="6679" max="6679" width="10.140625" style="1" bestFit="1" customWidth="1"/>
    <col min="6680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7" width="11.42578125" style="1" customWidth="1"/>
    <col min="6918" max="6918" width="13.140625" style="1" customWidth="1"/>
    <col min="6919" max="6919" width="11.140625" style="1" customWidth="1"/>
    <col min="6920" max="6920" width="10.7109375" style="1" customWidth="1"/>
    <col min="6921" max="6921" width="9" style="1" customWidth="1"/>
    <col min="6922" max="6922" width="9.140625" style="1" customWidth="1"/>
    <col min="6923" max="6923" width="10" style="1" customWidth="1"/>
    <col min="6924" max="6924" width="1.7109375" style="1" customWidth="1"/>
    <col min="6925" max="6925" width="12.42578125" style="1" customWidth="1"/>
    <col min="6926" max="6926" width="2" style="1" customWidth="1"/>
    <col min="6927" max="6927" width="13.85546875" style="1" customWidth="1"/>
    <col min="6928" max="6928" width="3.85546875" style="1" customWidth="1"/>
    <col min="6929" max="6929" width="12.42578125" style="1" customWidth="1"/>
    <col min="6930" max="6930" width="12.5703125" style="1" customWidth="1"/>
    <col min="6931" max="6931" width="12.7109375" style="1" bestFit="1" customWidth="1"/>
    <col min="6932" max="6934" width="6.85546875" style="1"/>
    <col min="6935" max="6935" width="10.140625" style="1" bestFit="1" customWidth="1"/>
    <col min="6936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3" width="11.42578125" style="1" customWidth="1"/>
    <col min="7174" max="7174" width="13.140625" style="1" customWidth="1"/>
    <col min="7175" max="7175" width="11.140625" style="1" customWidth="1"/>
    <col min="7176" max="7176" width="10.7109375" style="1" customWidth="1"/>
    <col min="7177" max="7177" width="9" style="1" customWidth="1"/>
    <col min="7178" max="7178" width="9.140625" style="1" customWidth="1"/>
    <col min="7179" max="7179" width="10" style="1" customWidth="1"/>
    <col min="7180" max="7180" width="1.7109375" style="1" customWidth="1"/>
    <col min="7181" max="7181" width="12.42578125" style="1" customWidth="1"/>
    <col min="7182" max="7182" width="2" style="1" customWidth="1"/>
    <col min="7183" max="7183" width="13.85546875" style="1" customWidth="1"/>
    <col min="7184" max="7184" width="3.85546875" style="1" customWidth="1"/>
    <col min="7185" max="7185" width="12.42578125" style="1" customWidth="1"/>
    <col min="7186" max="7186" width="12.5703125" style="1" customWidth="1"/>
    <col min="7187" max="7187" width="12.7109375" style="1" bestFit="1" customWidth="1"/>
    <col min="7188" max="7190" width="6.85546875" style="1"/>
    <col min="7191" max="7191" width="10.140625" style="1" bestFit="1" customWidth="1"/>
    <col min="7192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29" width="11.42578125" style="1" customWidth="1"/>
    <col min="7430" max="7430" width="13.140625" style="1" customWidth="1"/>
    <col min="7431" max="7431" width="11.140625" style="1" customWidth="1"/>
    <col min="7432" max="7432" width="10.7109375" style="1" customWidth="1"/>
    <col min="7433" max="7433" width="9" style="1" customWidth="1"/>
    <col min="7434" max="7434" width="9.140625" style="1" customWidth="1"/>
    <col min="7435" max="7435" width="10" style="1" customWidth="1"/>
    <col min="7436" max="7436" width="1.7109375" style="1" customWidth="1"/>
    <col min="7437" max="7437" width="12.42578125" style="1" customWidth="1"/>
    <col min="7438" max="7438" width="2" style="1" customWidth="1"/>
    <col min="7439" max="7439" width="13.85546875" style="1" customWidth="1"/>
    <col min="7440" max="7440" width="3.85546875" style="1" customWidth="1"/>
    <col min="7441" max="7441" width="12.42578125" style="1" customWidth="1"/>
    <col min="7442" max="7442" width="12.5703125" style="1" customWidth="1"/>
    <col min="7443" max="7443" width="12.7109375" style="1" bestFit="1" customWidth="1"/>
    <col min="7444" max="7446" width="6.85546875" style="1"/>
    <col min="7447" max="7447" width="10.140625" style="1" bestFit="1" customWidth="1"/>
    <col min="7448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5" width="11.42578125" style="1" customWidth="1"/>
    <col min="7686" max="7686" width="13.140625" style="1" customWidth="1"/>
    <col min="7687" max="7687" width="11.140625" style="1" customWidth="1"/>
    <col min="7688" max="7688" width="10.7109375" style="1" customWidth="1"/>
    <col min="7689" max="7689" width="9" style="1" customWidth="1"/>
    <col min="7690" max="7690" width="9.140625" style="1" customWidth="1"/>
    <col min="7691" max="7691" width="10" style="1" customWidth="1"/>
    <col min="7692" max="7692" width="1.7109375" style="1" customWidth="1"/>
    <col min="7693" max="7693" width="12.42578125" style="1" customWidth="1"/>
    <col min="7694" max="7694" width="2" style="1" customWidth="1"/>
    <col min="7695" max="7695" width="13.85546875" style="1" customWidth="1"/>
    <col min="7696" max="7696" width="3.85546875" style="1" customWidth="1"/>
    <col min="7697" max="7697" width="12.42578125" style="1" customWidth="1"/>
    <col min="7698" max="7698" width="12.5703125" style="1" customWidth="1"/>
    <col min="7699" max="7699" width="12.7109375" style="1" bestFit="1" customWidth="1"/>
    <col min="7700" max="7702" width="6.85546875" style="1"/>
    <col min="7703" max="7703" width="10.140625" style="1" bestFit="1" customWidth="1"/>
    <col min="7704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1" width="11.42578125" style="1" customWidth="1"/>
    <col min="7942" max="7942" width="13.140625" style="1" customWidth="1"/>
    <col min="7943" max="7943" width="11.140625" style="1" customWidth="1"/>
    <col min="7944" max="7944" width="10.7109375" style="1" customWidth="1"/>
    <col min="7945" max="7945" width="9" style="1" customWidth="1"/>
    <col min="7946" max="7946" width="9.140625" style="1" customWidth="1"/>
    <col min="7947" max="7947" width="10" style="1" customWidth="1"/>
    <col min="7948" max="7948" width="1.7109375" style="1" customWidth="1"/>
    <col min="7949" max="7949" width="12.42578125" style="1" customWidth="1"/>
    <col min="7950" max="7950" width="2" style="1" customWidth="1"/>
    <col min="7951" max="7951" width="13.85546875" style="1" customWidth="1"/>
    <col min="7952" max="7952" width="3.85546875" style="1" customWidth="1"/>
    <col min="7953" max="7953" width="12.42578125" style="1" customWidth="1"/>
    <col min="7954" max="7954" width="12.5703125" style="1" customWidth="1"/>
    <col min="7955" max="7955" width="12.7109375" style="1" bestFit="1" customWidth="1"/>
    <col min="7956" max="7958" width="6.85546875" style="1"/>
    <col min="7959" max="7959" width="10.140625" style="1" bestFit="1" customWidth="1"/>
    <col min="7960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7" width="11.42578125" style="1" customWidth="1"/>
    <col min="8198" max="8198" width="13.140625" style="1" customWidth="1"/>
    <col min="8199" max="8199" width="11.140625" style="1" customWidth="1"/>
    <col min="8200" max="8200" width="10.7109375" style="1" customWidth="1"/>
    <col min="8201" max="8201" width="9" style="1" customWidth="1"/>
    <col min="8202" max="8202" width="9.140625" style="1" customWidth="1"/>
    <col min="8203" max="8203" width="10" style="1" customWidth="1"/>
    <col min="8204" max="8204" width="1.7109375" style="1" customWidth="1"/>
    <col min="8205" max="8205" width="12.42578125" style="1" customWidth="1"/>
    <col min="8206" max="8206" width="2" style="1" customWidth="1"/>
    <col min="8207" max="8207" width="13.85546875" style="1" customWidth="1"/>
    <col min="8208" max="8208" width="3.85546875" style="1" customWidth="1"/>
    <col min="8209" max="8209" width="12.42578125" style="1" customWidth="1"/>
    <col min="8210" max="8210" width="12.5703125" style="1" customWidth="1"/>
    <col min="8211" max="8211" width="12.7109375" style="1" bestFit="1" customWidth="1"/>
    <col min="8212" max="8214" width="6.85546875" style="1"/>
    <col min="8215" max="8215" width="10.140625" style="1" bestFit="1" customWidth="1"/>
    <col min="8216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3" width="11.42578125" style="1" customWidth="1"/>
    <col min="8454" max="8454" width="13.140625" style="1" customWidth="1"/>
    <col min="8455" max="8455" width="11.140625" style="1" customWidth="1"/>
    <col min="8456" max="8456" width="10.7109375" style="1" customWidth="1"/>
    <col min="8457" max="8457" width="9" style="1" customWidth="1"/>
    <col min="8458" max="8458" width="9.140625" style="1" customWidth="1"/>
    <col min="8459" max="8459" width="10" style="1" customWidth="1"/>
    <col min="8460" max="8460" width="1.7109375" style="1" customWidth="1"/>
    <col min="8461" max="8461" width="12.42578125" style="1" customWidth="1"/>
    <col min="8462" max="8462" width="2" style="1" customWidth="1"/>
    <col min="8463" max="8463" width="13.85546875" style="1" customWidth="1"/>
    <col min="8464" max="8464" width="3.85546875" style="1" customWidth="1"/>
    <col min="8465" max="8465" width="12.42578125" style="1" customWidth="1"/>
    <col min="8466" max="8466" width="12.5703125" style="1" customWidth="1"/>
    <col min="8467" max="8467" width="12.7109375" style="1" bestFit="1" customWidth="1"/>
    <col min="8468" max="8470" width="6.85546875" style="1"/>
    <col min="8471" max="8471" width="10.140625" style="1" bestFit="1" customWidth="1"/>
    <col min="8472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09" width="11.42578125" style="1" customWidth="1"/>
    <col min="8710" max="8710" width="13.140625" style="1" customWidth="1"/>
    <col min="8711" max="8711" width="11.140625" style="1" customWidth="1"/>
    <col min="8712" max="8712" width="10.7109375" style="1" customWidth="1"/>
    <col min="8713" max="8713" width="9" style="1" customWidth="1"/>
    <col min="8714" max="8714" width="9.140625" style="1" customWidth="1"/>
    <col min="8715" max="8715" width="10" style="1" customWidth="1"/>
    <col min="8716" max="8716" width="1.7109375" style="1" customWidth="1"/>
    <col min="8717" max="8717" width="12.42578125" style="1" customWidth="1"/>
    <col min="8718" max="8718" width="2" style="1" customWidth="1"/>
    <col min="8719" max="8719" width="13.85546875" style="1" customWidth="1"/>
    <col min="8720" max="8720" width="3.85546875" style="1" customWidth="1"/>
    <col min="8721" max="8721" width="12.42578125" style="1" customWidth="1"/>
    <col min="8722" max="8722" width="12.5703125" style="1" customWidth="1"/>
    <col min="8723" max="8723" width="12.7109375" style="1" bestFit="1" customWidth="1"/>
    <col min="8724" max="8726" width="6.85546875" style="1"/>
    <col min="8727" max="8727" width="10.140625" style="1" bestFit="1" customWidth="1"/>
    <col min="8728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5" width="11.42578125" style="1" customWidth="1"/>
    <col min="8966" max="8966" width="13.140625" style="1" customWidth="1"/>
    <col min="8967" max="8967" width="11.140625" style="1" customWidth="1"/>
    <col min="8968" max="8968" width="10.7109375" style="1" customWidth="1"/>
    <col min="8969" max="8969" width="9" style="1" customWidth="1"/>
    <col min="8970" max="8970" width="9.140625" style="1" customWidth="1"/>
    <col min="8971" max="8971" width="10" style="1" customWidth="1"/>
    <col min="8972" max="8972" width="1.7109375" style="1" customWidth="1"/>
    <col min="8973" max="8973" width="12.42578125" style="1" customWidth="1"/>
    <col min="8974" max="8974" width="2" style="1" customWidth="1"/>
    <col min="8975" max="8975" width="13.85546875" style="1" customWidth="1"/>
    <col min="8976" max="8976" width="3.85546875" style="1" customWidth="1"/>
    <col min="8977" max="8977" width="12.42578125" style="1" customWidth="1"/>
    <col min="8978" max="8978" width="12.5703125" style="1" customWidth="1"/>
    <col min="8979" max="8979" width="12.7109375" style="1" bestFit="1" customWidth="1"/>
    <col min="8980" max="8982" width="6.85546875" style="1"/>
    <col min="8983" max="8983" width="10.140625" style="1" bestFit="1" customWidth="1"/>
    <col min="8984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1" width="11.42578125" style="1" customWidth="1"/>
    <col min="9222" max="9222" width="13.140625" style="1" customWidth="1"/>
    <col min="9223" max="9223" width="11.140625" style="1" customWidth="1"/>
    <col min="9224" max="9224" width="10.7109375" style="1" customWidth="1"/>
    <col min="9225" max="9225" width="9" style="1" customWidth="1"/>
    <col min="9226" max="9226" width="9.140625" style="1" customWidth="1"/>
    <col min="9227" max="9227" width="10" style="1" customWidth="1"/>
    <col min="9228" max="9228" width="1.7109375" style="1" customWidth="1"/>
    <col min="9229" max="9229" width="12.42578125" style="1" customWidth="1"/>
    <col min="9230" max="9230" width="2" style="1" customWidth="1"/>
    <col min="9231" max="9231" width="13.85546875" style="1" customWidth="1"/>
    <col min="9232" max="9232" width="3.85546875" style="1" customWidth="1"/>
    <col min="9233" max="9233" width="12.42578125" style="1" customWidth="1"/>
    <col min="9234" max="9234" width="12.5703125" style="1" customWidth="1"/>
    <col min="9235" max="9235" width="12.7109375" style="1" bestFit="1" customWidth="1"/>
    <col min="9236" max="9238" width="6.85546875" style="1"/>
    <col min="9239" max="9239" width="10.140625" style="1" bestFit="1" customWidth="1"/>
    <col min="9240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7" width="11.42578125" style="1" customWidth="1"/>
    <col min="9478" max="9478" width="13.140625" style="1" customWidth="1"/>
    <col min="9479" max="9479" width="11.140625" style="1" customWidth="1"/>
    <col min="9480" max="9480" width="10.7109375" style="1" customWidth="1"/>
    <col min="9481" max="9481" width="9" style="1" customWidth="1"/>
    <col min="9482" max="9482" width="9.140625" style="1" customWidth="1"/>
    <col min="9483" max="9483" width="10" style="1" customWidth="1"/>
    <col min="9484" max="9484" width="1.7109375" style="1" customWidth="1"/>
    <col min="9485" max="9485" width="12.42578125" style="1" customWidth="1"/>
    <col min="9486" max="9486" width="2" style="1" customWidth="1"/>
    <col min="9487" max="9487" width="13.85546875" style="1" customWidth="1"/>
    <col min="9488" max="9488" width="3.85546875" style="1" customWidth="1"/>
    <col min="9489" max="9489" width="12.42578125" style="1" customWidth="1"/>
    <col min="9490" max="9490" width="12.5703125" style="1" customWidth="1"/>
    <col min="9491" max="9491" width="12.7109375" style="1" bestFit="1" customWidth="1"/>
    <col min="9492" max="9494" width="6.85546875" style="1"/>
    <col min="9495" max="9495" width="10.140625" style="1" bestFit="1" customWidth="1"/>
    <col min="9496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3" width="11.42578125" style="1" customWidth="1"/>
    <col min="9734" max="9734" width="13.140625" style="1" customWidth="1"/>
    <col min="9735" max="9735" width="11.140625" style="1" customWidth="1"/>
    <col min="9736" max="9736" width="10.7109375" style="1" customWidth="1"/>
    <col min="9737" max="9737" width="9" style="1" customWidth="1"/>
    <col min="9738" max="9738" width="9.140625" style="1" customWidth="1"/>
    <col min="9739" max="9739" width="10" style="1" customWidth="1"/>
    <col min="9740" max="9740" width="1.7109375" style="1" customWidth="1"/>
    <col min="9741" max="9741" width="12.42578125" style="1" customWidth="1"/>
    <col min="9742" max="9742" width="2" style="1" customWidth="1"/>
    <col min="9743" max="9743" width="13.85546875" style="1" customWidth="1"/>
    <col min="9744" max="9744" width="3.85546875" style="1" customWidth="1"/>
    <col min="9745" max="9745" width="12.42578125" style="1" customWidth="1"/>
    <col min="9746" max="9746" width="12.5703125" style="1" customWidth="1"/>
    <col min="9747" max="9747" width="12.7109375" style="1" bestFit="1" customWidth="1"/>
    <col min="9748" max="9750" width="6.85546875" style="1"/>
    <col min="9751" max="9751" width="10.140625" style="1" bestFit="1" customWidth="1"/>
    <col min="9752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89" width="11.42578125" style="1" customWidth="1"/>
    <col min="9990" max="9990" width="13.140625" style="1" customWidth="1"/>
    <col min="9991" max="9991" width="11.140625" style="1" customWidth="1"/>
    <col min="9992" max="9992" width="10.7109375" style="1" customWidth="1"/>
    <col min="9993" max="9993" width="9" style="1" customWidth="1"/>
    <col min="9994" max="9994" width="9.140625" style="1" customWidth="1"/>
    <col min="9995" max="9995" width="10" style="1" customWidth="1"/>
    <col min="9996" max="9996" width="1.7109375" style="1" customWidth="1"/>
    <col min="9997" max="9997" width="12.42578125" style="1" customWidth="1"/>
    <col min="9998" max="9998" width="2" style="1" customWidth="1"/>
    <col min="9999" max="9999" width="13.85546875" style="1" customWidth="1"/>
    <col min="10000" max="10000" width="3.85546875" style="1" customWidth="1"/>
    <col min="10001" max="10001" width="12.42578125" style="1" customWidth="1"/>
    <col min="10002" max="10002" width="12.5703125" style="1" customWidth="1"/>
    <col min="10003" max="10003" width="12.7109375" style="1" bestFit="1" customWidth="1"/>
    <col min="10004" max="10006" width="6.85546875" style="1"/>
    <col min="10007" max="10007" width="10.140625" style="1" bestFit="1" customWidth="1"/>
    <col min="10008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5" width="11.42578125" style="1" customWidth="1"/>
    <col min="10246" max="10246" width="13.140625" style="1" customWidth="1"/>
    <col min="10247" max="10247" width="11.140625" style="1" customWidth="1"/>
    <col min="10248" max="10248" width="10.7109375" style="1" customWidth="1"/>
    <col min="10249" max="10249" width="9" style="1" customWidth="1"/>
    <col min="10250" max="10250" width="9.140625" style="1" customWidth="1"/>
    <col min="10251" max="10251" width="10" style="1" customWidth="1"/>
    <col min="10252" max="10252" width="1.7109375" style="1" customWidth="1"/>
    <col min="10253" max="10253" width="12.42578125" style="1" customWidth="1"/>
    <col min="10254" max="10254" width="2" style="1" customWidth="1"/>
    <col min="10255" max="10255" width="13.85546875" style="1" customWidth="1"/>
    <col min="10256" max="10256" width="3.85546875" style="1" customWidth="1"/>
    <col min="10257" max="10257" width="12.42578125" style="1" customWidth="1"/>
    <col min="10258" max="10258" width="12.5703125" style="1" customWidth="1"/>
    <col min="10259" max="10259" width="12.7109375" style="1" bestFit="1" customWidth="1"/>
    <col min="10260" max="10262" width="6.85546875" style="1"/>
    <col min="10263" max="10263" width="10.140625" style="1" bestFit="1" customWidth="1"/>
    <col min="10264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1" width="11.42578125" style="1" customWidth="1"/>
    <col min="10502" max="10502" width="13.140625" style="1" customWidth="1"/>
    <col min="10503" max="10503" width="11.140625" style="1" customWidth="1"/>
    <col min="10504" max="10504" width="10.7109375" style="1" customWidth="1"/>
    <col min="10505" max="10505" width="9" style="1" customWidth="1"/>
    <col min="10506" max="10506" width="9.140625" style="1" customWidth="1"/>
    <col min="10507" max="10507" width="10" style="1" customWidth="1"/>
    <col min="10508" max="10508" width="1.7109375" style="1" customWidth="1"/>
    <col min="10509" max="10509" width="12.42578125" style="1" customWidth="1"/>
    <col min="10510" max="10510" width="2" style="1" customWidth="1"/>
    <col min="10511" max="10511" width="13.85546875" style="1" customWidth="1"/>
    <col min="10512" max="10512" width="3.85546875" style="1" customWidth="1"/>
    <col min="10513" max="10513" width="12.42578125" style="1" customWidth="1"/>
    <col min="10514" max="10514" width="12.5703125" style="1" customWidth="1"/>
    <col min="10515" max="10515" width="12.7109375" style="1" bestFit="1" customWidth="1"/>
    <col min="10516" max="10518" width="6.85546875" style="1"/>
    <col min="10519" max="10519" width="10.140625" style="1" bestFit="1" customWidth="1"/>
    <col min="10520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7" width="11.42578125" style="1" customWidth="1"/>
    <col min="10758" max="10758" width="13.140625" style="1" customWidth="1"/>
    <col min="10759" max="10759" width="11.140625" style="1" customWidth="1"/>
    <col min="10760" max="10760" width="10.7109375" style="1" customWidth="1"/>
    <col min="10761" max="10761" width="9" style="1" customWidth="1"/>
    <col min="10762" max="10762" width="9.140625" style="1" customWidth="1"/>
    <col min="10763" max="10763" width="10" style="1" customWidth="1"/>
    <col min="10764" max="10764" width="1.7109375" style="1" customWidth="1"/>
    <col min="10765" max="10765" width="12.42578125" style="1" customWidth="1"/>
    <col min="10766" max="10766" width="2" style="1" customWidth="1"/>
    <col min="10767" max="10767" width="13.85546875" style="1" customWidth="1"/>
    <col min="10768" max="10768" width="3.85546875" style="1" customWidth="1"/>
    <col min="10769" max="10769" width="12.42578125" style="1" customWidth="1"/>
    <col min="10770" max="10770" width="12.5703125" style="1" customWidth="1"/>
    <col min="10771" max="10771" width="12.7109375" style="1" bestFit="1" customWidth="1"/>
    <col min="10772" max="10774" width="6.85546875" style="1"/>
    <col min="10775" max="10775" width="10.140625" style="1" bestFit="1" customWidth="1"/>
    <col min="10776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3" width="11.42578125" style="1" customWidth="1"/>
    <col min="11014" max="11014" width="13.140625" style="1" customWidth="1"/>
    <col min="11015" max="11015" width="11.140625" style="1" customWidth="1"/>
    <col min="11016" max="11016" width="10.7109375" style="1" customWidth="1"/>
    <col min="11017" max="11017" width="9" style="1" customWidth="1"/>
    <col min="11018" max="11018" width="9.140625" style="1" customWidth="1"/>
    <col min="11019" max="11019" width="10" style="1" customWidth="1"/>
    <col min="11020" max="11020" width="1.7109375" style="1" customWidth="1"/>
    <col min="11021" max="11021" width="12.42578125" style="1" customWidth="1"/>
    <col min="11022" max="11022" width="2" style="1" customWidth="1"/>
    <col min="11023" max="11023" width="13.85546875" style="1" customWidth="1"/>
    <col min="11024" max="11024" width="3.85546875" style="1" customWidth="1"/>
    <col min="11025" max="11025" width="12.42578125" style="1" customWidth="1"/>
    <col min="11026" max="11026" width="12.5703125" style="1" customWidth="1"/>
    <col min="11027" max="11027" width="12.7109375" style="1" bestFit="1" customWidth="1"/>
    <col min="11028" max="11030" width="6.85546875" style="1"/>
    <col min="11031" max="11031" width="10.140625" style="1" bestFit="1" customWidth="1"/>
    <col min="11032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69" width="11.42578125" style="1" customWidth="1"/>
    <col min="11270" max="11270" width="13.140625" style="1" customWidth="1"/>
    <col min="11271" max="11271" width="11.140625" style="1" customWidth="1"/>
    <col min="11272" max="11272" width="10.7109375" style="1" customWidth="1"/>
    <col min="11273" max="11273" width="9" style="1" customWidth="1"/>
    <col min="11274" max="11274" width="9.140625" style="1" customWidth="1"/>
    <col min="11275" max="11275" width="10" style="1" customWidth="1"/>
    <col min="11276" max="11276" width="1.7109375" style="1" customWidth="1"/>
    <col min="11277" max="11277" width="12.42578125" style="1" customWidth="1"/>
    <col min="11278" max="11278" width="2" style="1" customWidth="1"/>
    <col min="11279" max="11279" width="13.85546875" style="1" customWidth="1"/>
    <col min="11280" max="11280" width="3.85546875" style="1" customWidth="1"/>
    <col min="11281" max="11281" width="12.42578125" style="1" customWidth="1"/>
    <col min="11282" max="11282" width="12.5703125" style="1" customWidth="1"/>
    <col min="11283" max="11283" width="12.7109375" style="1" bestFit="1" customWidth="1"/>
    <col min="11284" max="11286" width="6.85546875" style="1"/>
    <col min="11287" max="11287" width="10.140625" style="1" bestFit="1" customWidth="1"/>
    <col min="11288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5" width="11.42578125" style="1" customWidth="1"/>
    <col min="11526" max="11526" width="13.140625" style="1" customWidth="1"/>
    <col min="11527" max="11527" width="11.140625" style="1" customWidth="1"/>
    <col min="11528" max="11528" width="10.7109375" style="1" customWidth="1"/>
    <col min="11529" max="11529" width="9" style="1" customWidth="1"/>
    <col min="11530" max="11530" width="9.140625" style="1" customWidth="1"/>
    <col min="11531" max="11531" width="10" style="1" customWidth="1"/>
    <col min="11532" max="11532" width="1.7109375" style="1" customWidth="1"/>
    <col min="11533" max="11533" width="12.42578125" style="1" customWidth="1"/>
    <col min="11534" max="11534" width="2" style="1" customWidth="1"/>
    <col min="11535" max="11535" width="13.85546875" style="1" customWidth="1"/>
    <col min="11536" max="11536" width="3.85546875" style="1" customWidth="1"/>
    <col min="11537" max="11537" width="12.42578125" style="1" customWidth="1"/>
    <col min="11538" max="11538" width="12.5703125" style="1" customWidth="1"/>
    <col min="11539" max="11539" width="12.7109375" style="1" bestFit="1" customWidth="1"/>
    <col min="11540" max="11542" width="6.85546875" style="1"/>
    <col min="11543" max="11543" width="10.140625" style="1" bestFit="1" customWidth="1"/>
    <col min="11544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1" width="11.42578125" style="1" customWidth="1"/>
    <col min="11782" max="11782" width="13.140625" style="1" customWidth="1"/>
    <col min="11783" max="11783" width="11.140625" style="1" customWidth="1"/>
    <col min="11784" max="11784" width="10.7109375" style="1" customWidth="1"/>
    <col min="11785" max="11785" width="9" style="1" customWidth="1"/>
    <col min="11786" max="11786" width="9.140625" style="1" customWidth="1"/>
    <col min="11787" max="11787" width="10" style="1" customWidth="1"/>
    <col min="11788" max="11788" width="1.7109375" style="1" customWidth="1"/>
    <col min="11789" max="11789" width="12.42578125" style="1" customWidth="1"/>
    <col min="11790" max="11790" width="2" style="1" customWidth="1"/>
    <col min="11791" max="11791" width="13.85546875" style="1" customWidth="1"/>
    <col min="11792" max="11792" width="3.85546875" style="1" customWidth="1"/>
    <col min="11793" max="11793" width="12.42578125" style="1" customWidth="1"/>
    <col min="11794" max="11794" width="12.5703125" style="1" customWidth="1"/>
    <col min="11795" max="11795" width="12.7109375" style="1" bestFit="1" customWidth="1"/>
    <col min="11796" max="11798" width="6.85546875" style="1"/>
    <col min="11799" max="11799" width="10.140625" style="1" bestFit="1" customWidth="1"/>
    <col min="11800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7" width="11.42578125" style="1" customWidth="1"/>
    <col min="12038" max="12038" width="13.140625" style="1" customWidth="1"/>
    <col min="12039" max="12039" width="11.140625" style="1" customWidth="1"/>
    <col min="12040" max="12040" width="10.7109375" style="1" customWidth="1"/>
    <col min="12041" max="12041" width="9" style="1" customWidth="1"/>
    <col min="12042" max="12042" width="9.140625" style="1" customWidth="1"/>
    <col min="12043" max="12043" width="10" style="1" customWidth="1"/>
    <col min="12044" max="12044" width="1.7109375" style="1" customWidth="1"/>
    <col min="12045" max="12045" width="12.42578125" style="1" customWidth="1"/>
    <col min="12046" max="12046" width="2" style="1" customWidth="1"/>
    <col min="12047" max="12047" width="13.85546875" style="1" customWidth="1"/>
    <col min="12048" max="12048" width="3.85546875" style="1" customWidth="1"/>
    <col min="12049" max="12049" width="12.42578125" style="1" customWidth="1"/>
    <col min="12050" max="12050" width="12.5703125" style="1" customWidth="1"/>
    <col min="12051" max="12051" width="12.7109375" style="1" bestFit="1" customWidth="1"/>
    <col min="12052" max="12054" width="6.85546875" style="1"/>
    <col min="12055" max="12055" width="10.140625" style="1" bestFit="1" customWidth="1"/>
    <col min="12056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3" width="11.42578125" style="1" customWidth="1"/>
    <col min="12294" max="12294" width="13.140625" style="1" customWidth="1"/>
    <col min="12295" max="12295" width="11.140625" style="1" customWidth="1"/>
    <col min="12296" max="12296" width="10.7109375" style="1" customWidth="1"/>
    <col min="12297" max="12297" width="9" style="1" customWidth="1"/>
    <col min="12298" max="12298" width="9.140625" style="1" customWidth="1"/>
    <col min="12299" max="12299" width="10" style="1" customWidth="1"/>
    <col min="12300" max="12300" width="1.7109375" style="1" customWidth="1"/>
    <col min="12301" max="12301" width="12.42578125" style="1" customWidth="1"/>
    <col min="12302" max="12302" width="2" style="1" customWidth="1"/>
    <col min="12303" max="12303" width="13.85546875" style="1" customWidth="1"/>
    <col min="12304" max="12304" width="3.85546875" style="1" customWidth="1"/>
    <col min="12305" max="12305" width="12.42578125" style="1" customWidth="1"/>
    <col min="12306" max="12306" width="12.5703125" style="1" customWidth="1"/>
    <col min="12307" max="12307" width="12.7109375" style="1" bestFit="1" customWidth="1"/>
    <col min="12308" max="12310" width="6.85546875" style="1"/>
    <col min="12311" max="12311" width="10.140625" style="1" bestFit="1" customWidth="1"/>
    <col min="12312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49" width="11.42578125" style="1" customWidth="1"/>
    <col min="12550" max="12550" width="13.140625" style="1" customWidth="1"/>
    <col min="12551" max="12551" width="11.140625" style="1" customWidth="1"/>
    <col min="12552" max="12552" width="10.7109375" style="1" customWidth="1"/>
    <col min="12553" max="12553" width="9" style="1" customWidth="1"/>
    <col min="12554" max="12554" width="9.140625" style="1" customWidth="1"/>
    <col min="12555" max="12555" width="10" style="1" customWidth="1"/>
    <col min="12556" max="12556" width="1.7109375" style="1" customWidth="1"/>
    <col min="12557" max="12557" width="12.42578125" style="1" customWidth="1"/>
    <col min="12558" max="12558" width="2" style="1" customWidth="1"/>
    <col min="12559" max="12559" width="13.85546875" style="1" customWidth="1"/>
    <col min="12560" max="12560" width="3.85546875" style="1" customWidth="1"/>
    <col min="12561" max="12561" width="12.42578125" style="1" customWidth="1"/>
    <col min="12562" max="12562" width="12.5703125" style="1" customWidth="1"/>
    <col min="12563" max="12563" width="12.7109375" style="1" bestFit="1" customWidth="1"/>
    <col min="12564" max="12566" width="6.85546875" style="1"/>
    <col min="12567" max="12567" width="10.140625" style="1" bestFit="1" customWidth="1"/>
    <col min="12568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5" width="11.42578125" style="1" customWidth="1"/>
    <col min="12806" max="12806" width="13.140625" style="1" customWidth="1"/>
    <col min="12807" max="12807" width="11.140625" style="1" customWidth="1"/>
    <col min="12808" max="12808" width="10.7109375" style="1" customWidth="1"/>
    <col min="12809" max="12809" width="9" style="1" customWidth="1"/>
    <col min="12810" max="12810" width="9.140625" style="1" customWidth="1"/>
    <col min="12811" max="12811" width="10" style="1" customWidth="1"/>
    <col min="12812" max="12812" width="1.7109375" style="1" customWidth="1"/>
    <col min="12813" max="12813" width="12.42578125" style="1" customWidth="1"/>
    <col min="12814" max="12814" width="2" style="1" customWidth="1"/>
    <col min="12815" max="12815" width="13.85546875" style="1" customWidth="1"/>
    <col min="12816" max="12816" width="3.85546875" style="1" customWidth="1"/>
    <col min="12817" max="12817" width="12.42578125" style="1" customWidth="1"/>
    <col min="12818" max="12818" width="12.5703125" style="1" customWidth="1"/>
    <col min="12819" max="12819" width="12.7109375" style="1" bestFit="1" customWidth="1"/>
    <col min="12820" max="12822" width="6.85546875" style="1"/>
    <col min="12823" max="12823" width="10.140625" style="1" bestFit="1" customWidth="1"/>
    <col min="12824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1" width="11.42578125" style="1" customWidth="1"/>
    <col min="13062" max="13062" width="13.140625" style="1" customWidth="1"/>
    <col min="13063" max="13063" width="11.140625" style="1" customWidth="1"/>
    <col min="13064" max="13064" width="10.7109375" style="1" customWidth="1"/>
    <col min="13065" max="13065" width="9" style="1" customWidth="1"/>
    <col min="13066" max="13066" width="9.140625" style="1" customWidth="1"/>
    <col min="13067" max="13067" width="10" style="1" customWidth="1"/>
    <col min="13068" max="13068" width="1.7109375" style="1" customWidth="1"/>
    <col min="13069" max="13069" width="12.42578125" style="1" customWidth="1"/>
    <col min="13070" max="13070" width="2" style="1" customWidth="1"/>
    <col min="13071" max="13071" width="13.85546875" style="1" customWidth="1"/>
    <col min="13072" max="13072" width="3.85546875" style="1" customWidth="1"/>
    <col min="13073" max="13073" width="12.42578125" style="1" customWidth="1"/>
    <col min="13074" max="13074" width="12.5703125" style="1" customWidth="1"/>
    <col min="13075" max="13075" width="12.7109375" style="1" bestFit="1" customWidth="1"/>
    <col min="13076" max="13078" width="6.85546875" style="1"/>
    <col min="13079" max="13079" width="10.140625" style="1" bestFit="1" customWidth="1"/>
    <col min="13080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7" width="11.42578125" style="1" customWidth="1"/>
    <col min="13318" max="13318" width="13.140625" style="1" customWidth="1"/>
    <col min="13319" max="13319" width="11.140625" style="1" customWidth="1"/>
    <col min="13320" max="13320" width="10.7109375" style="1" customWidth="1"/>
    <col min="13321" max="13321" width="9" style="1" customWidth="1"/>
    <col min="13322" max="13322" width="9.140625" style="1" customWidth="1"/>
    <col min="13323" max="13323" width="10" style="1" customWidth="1"/>
    <col min="13324" max="13324" width="1.7109375" style="1" customWidth="1"/>
    <col min="13325" max="13325" width="12.42578125" style="1" customWidth="1"/>
    <col min="13326" max="13326" width="2" style="1" customWidth="1"/>
    <col min="13327" max="13327" width="13.85546875" style="1" customWidth="1"/>
    <col min="13328" max="13328" width="3.85546875" style="1" customWidth="1"/>
    <col min="13329" max="13329" width="12.42578125" style="1" customWidth="1"/>
    <col min="13330" max="13330" width="12.5703125" style="1" customWidth="1"/>
    <col min="13331" max="13331" width="12.7109375" style="1" bestFit="1" customWidth="1"/>
    <col min="13332" max="13334" width="6.85546875" style="1"/>
    <col min="13335" max="13335" width="10.140625" style="1" bestFit="1" customWidth="1"/>
    <col min="13336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3" width="11.42578125" style="1" customWidth="1"/>
    <col min="13574" max="13574" width="13.140625" style="1" customWidth="1"/>
    <col min="13575" max="13575" width="11.140625" style="1" customWidth="1"/>
    <col min="13576" max="13576" width="10.7109375" style="1" customWidth="1"/>
    <col min="13577" max="13577" width="9" style="1" customWidth="1"/>
    <col min="13578" max="13578" width="9.140625" style="1" customWidth="1"/>
    <col min="13579" max="13579" width="10" style="1" customWidth="1"/>
    <col min="13580" max="13580" width="1.7109375" style="1" customWidth="1"/>
    <col min="13581" max="13581" width="12.42578125" style="1" customWidth="1"/>
    <col min="13582" max="13582" width="2" style="1" customWidth="1"/>
    <col min="13583" max="13583" width="13.85546875" style="1" customWidth="1"/>
    <col min="13584" max="13584" width="3.85546875" style="1" customWidth="1"/>
    <col min="13585" max="13585" width="12.42578125" style="1" customWidth="1"/>
    <col min="13586" max="13586" width="12.5703125" style="1" customWidth="1"/>
    <col min="13587" max="13587" width="12.7109375" style="1" bestFit="1" customWidth="1"/>
    <col min="13588" max="13590" width="6.85546875" style="1"/>
    <col min="13591" max="13591" width="10.140625" style="1" bestFit="1" customWidth="1"/>
    <col min="13592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29" width="11.42578125" style="1" customWidth="1"/>
    <col min="13830" max="13830" width="13.140625" style="1" customWidth="1"/>
    <col min="13831" max="13831" width="11.140625" style="1" customWidth="1"/>
    <col min="13832" max="13832" width="10.7109375" style="1" customWidth="1"/>
    <col min="13833" max="13833" width="9" style="1" customWidth="1"/>
    <col min="13834" max="13834" width="9.140625" style="1" customWidth="1"/>
    <col min="13835" max="13835" width="10" style="1" customWidth="1"/>
    <col min="13836" max="13836" width="1.7109375" style="1" customWidth="1"/>
    <col min="13837" max="13837" width="12.42578125" style="1" customWidth="1"/>
    <col min="13838" max="13838" width="2" style="1" customWidth="1"/>
    <col min="13839" max="13839" width="13.85546875" style="1" customWidth="1"/>
    <col min="13840" max="13840" width="3.85546875" style="1" customWidth="1"/>
    <col min="13841" max="13841" width="12.42578125" style="1" customWidth="1"/>
    <col min="13842" max="13842" width="12.5703125" style="1" customWidth="1"/>
    <col min="13843" max="13843" width="12.7109375" style="1" bestFit="1" customWidth="1"/>
    <col min="13844" max="13846" width="6.85546875" style="1"/>
    <col min="13847" max="13847" width="10.140625" style="1" bestFit="1" customWidth="1"/>
    <col min="13848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5" width="11.42578125" style="1" customWidth="1"/>
    <col min="14086" max="14086" width="13.140625" style="1" customWidth="1"/>
    <col min="14087" max="14087" width="11.140625" style="1" customWidth="1"/>
    <col min="14088" max="14088" width="10.7109375" style="1" customWidth="1"/>
    <col min="14089" max="14089" width="9" style="1" customWidth="1"/>
    <col min="14090" max="14090" width="9.140625" style="1" customWidth="1"/>
    <col min="14091" max="14091" width="10" style="1" customWidth="1"/>
    <col min="14092" max="14092" width="1.7109375" style="1" customWidth="1"/>
    <col min="14093" max="14093" width="12.42578125" style="1" customWidth="1"/>
    <col min="14094" max="14094" width="2" style="1" customWidth="1"/>
    <col min="14095" max="14095" width="13.85546875" style="1" customWidth="1"/>
    <col min="14096" max="14096" width="3.85546875" style="1" customWidth="1"/>
    <col min="14097" max="14097" width="12.42578125" style="1" customWidth="1"/>
    <col min="14098" max="14098" width="12.5703125" style="1" customWidth="1"/>
    <col min="14099" max="14099" width="12.7109375" style="1" bestFit="1" customWidth="1"/>
    <col min="14100" max="14102" width="6.85546875" style="1"/>
    <col min="14103" max="14103" width="10.140625" style="1" bestFit="1" customWidth="1"/>
    <col min="14104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1" width="11.42578125" style="1" customWidth="1"/>
    <col min="14342" max="14342" width="13.140625" style="1" customWidth="1"/>
    <col min="14343" max="14343" width="11.140625" style="1" customWidth="1"/>
    <col min="14344" max="14344" width="10.7109375" style="1" customWidth="1"/>
    <col min="14345" max="14345" width="9" style="1" customWidth="1"/>
    <col min="14346" max="14346" width="9.140625" style="1" customWidth="1"/>
    <col min="14347" max="14347" width="10" style="1" customWidth="1"/>
    <col min="14348" max="14348" width="1.7109375" style="1" customWidth="1"/>
    <col min="14349" max="14349" width="12.42578125" style="1" customWidth="1"/>
    <col min="14350" max="14350" width="2" style="1" customWidth="1"/>
    <col min="14351" max="14351" width="13.85546875" style="1" customWidth="1"/>
    <col min="14352" max="14352" width="3.85546875" style="1" customWidth="1"/>
    <col min="14353" max="14353" width="12.42578125" style="1" customWidth="1"/>
    <col min="14354" max="14354" width="12.5703125" style="1" customWidth="1"/>
    <col min="14355" max="14355" width="12.7109375" style="1" bestFit="1" customWidth="1"/>
    <col min="14356" max="14358" width="6.85546875" style="1"/>
    <col min="14359" max="14359" width="10.140625" style="1" bestFit="1" customWidth="1"/>
    <col min="14360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7" width="11.42578125" style="1" customWidth="1"/>
    <col min="14598" max="14598" width="13.140625" style="1" customWidth="1"/>
    <col min="14599" max="14599" width="11.140625" style="1" customWidth="1"/>
    <col min="14600" max="14600" width="10.7109375" style="1" customWidth="1"/>
    <col min="14601" max="14601" width="9" style="1" customWidth="1"/>
    <col min="14602" max="14602" width="9.140625" style="1" customWidth="1"/>
    <col min="14603" max="14603" width="10" style="1" customWidth="1"/>
    <col min="14604" max="14604" width="1.7109375" style="1" customWidth="1"/>
    <col min="14605" max="14605" width="12.42578125" style="1" customWidth="1"/>
    <col min="14606" max="14606" width="2" style="1" customWidth="1"/>
    <col min="14607" max="14607" width="13.85546875" style="1" customWidth="1"/>
    <col min="14608" max="14608" width="3.85546875" style="1" customWidth="1"/>
    <col min="14609" max="14609" width="12.42578125" style="1" customWidth="1"/>
    <col min="14610" max="14610" width="12.5703125" style="1" customWidth="1"/>
    <col min="14611" max="14611" width="12.7109375" style="1" bestFit="1" customWidth="1"/>
    <col min="14612" max="14614" width="6.85546875" style="1"/>
    <col min="14615" max="14615" width="10.140625" style="1" bestFit="1" customWidth="1"/>
    <col min="14616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3" width="11.42578125" style="1" customWidth="1"/>
    <col min="14854" max="14854" width="13.140625" style="1" customWidth="1"/>
    <col min="14855" max="14855" width="11.140625" style="1" customWidth="1"/>
    <col min="14856" max="14856" width="10.7109375" style="1" customWidth="1"/>
    <col min="14857" max="14857" width="9" style="1" customWidth="1"/>
    <col min="14858" max="14858" width="9.140625" style="1" customWidth="1"/>
    <col min="14859" max="14859" width="10" style="1" customWidth="1"/>
    <col min="14860" max="14860" width="1.7109375" style="1" customWidth="1"/>
    <col min="14861" max="14861" width="12.42578125" style="1" customWidth="1"/>
    <col min="14862" max="14862" width="2" style="1" customWidth="1"/>
    <col min="14863" max="14863" width="13.85546875" style="1" customWidth="1"/>
    <col min="14864" max="14864" width="3.85546875" style="1" customWidth="1"/>
    <col min="14865" max="14865" width="12.42578125" style="1" customWidth="1"/>
    <col min="14866" max="14866" width="12.5703125" style="1" customWidth="1"/>
    <col min="14867" max="14867" width="12.7109375" style="1" bestFit="1" customWidth="1"/>
    <col min="14868" max="14870" width="6.85546875" style="1"/>
    <col min="14871" max="14871" width="10.140625" style="1" bestFit="1" customWidth="1"/>
    <col min="14872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09" width="11.42578125" style="1" customWidth="1"/>
    <col min="15110" max="15110" width="13.140625" style="1" customWidth="1"/>
    <col min="15111" max="15111" width="11.140625" style="1" customWidth="1"/>
    <col min="15112" max="15112" width="10.7109375" style="1" customWidth="1"/>
    <col min="15113" max="15113" width="9" style="1" customWidth="1"/>
    <col min="15114" max="15114" width="9.140625" style="1" customWidth="1"/>
    <col min="15115" max="15115" width="10" style="1" customWidth="1"/>
    <col min="15116" max="15116" width="1.7109375" style="1" customWidth="1"/>
    <col min="15117" max="15117" width="12.42578125" style="1" customWidth="1"/>
    <col min="15118" max="15118" width="2" style="1" customWidth="1"/>
    <col min="15119" max="15119" width="13.85546875" style="1" customWidth="1"/>
    <col min="15120" max="15120" width="3.85546875" style="1" customWidth="1"/>
    <col min="15121" max="15121" width="12.42578125" style="1" customWidth="1"/>
    <col min="15122" max="15122" width="12.5703125" style="1" customWidth="1"/>
    <col min="15123" max="15123" width="12.7109375" style="1" bestFit="1" customWidth="1"/>
    <col min="15124" max="15126" width="6.85546875" style="1"/>
    <col min="15127" max="15127" width="10.140625" style="1" bestFit="1" customWidth="1"/>
    <col min="15128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5" width="11.42578125" style="1" customWidth="1"/>
    <col min="15366" max="15366" width="13.140625" style="1" customWidth="1"/>
    <col min="15367" max="15367" width="11.140625" style="1" customWidth="1"/>
    <col min="15368" max="15368" width="10.7109375" style="1" customWidth="1"/>
    <col min="15369" max="15369" width="9" style="1" customWidth="1"/>
    <col min="15370" max="15370" width="9.140625" style="1" customWidth="1"/>
    <col min="15371" max="15371" width="10" style="1" customWidth="1"/>
    <col min="15372" max="15372" width="1.7109375" style="1" customWidth="1"/>
    <col min="15373" max="15373" width="12.42578125" style="1" customWidth="1"/>
    <col min="15374" max="15374" width="2" style="1" customWidth="1"/>
    <col min="15375" max="15375" width="13.85546875" style="1" customWidth="1"/>
    <col min="15376" max="15376" width="3.85546875" style="1" customWidth="1"/>
    <col min="15377" max="15377" width="12.42578125" style="1" customWidth="1"/>
    <col min="15378" max="15378" width="12.5703125" style="1" customWidth="1"/>
    <col min="15379" max="15379" width="12.7109375" style="1" bestFit="1" customWidth="1"/>
    <col min="15380" max="15382" width="6.85546875" style="1"/>
    <col min="15383" max="15383" width="10.140625" style="1" bestFit="1" customWidth="1"/>
    <col min="15384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1" width="11.42578125" style="1" customWidth="1"/>
    <col min="15622" max="15622" width="13.140625" style="1" customWidth="1"/>
    <col min="15623" max="15623" width="11.140625" style="1" customWidth="1"/>
    <col min="15624" max="15624" width="10.7109375" style="1" customWidth="1"/>
    <col min="15625" max="15625" width="9" style="1" customWidth="1"/>
    <col min="15626" max="15626" width="9.140625" style="1" customWidth="1"/>
    <col min="15627" max="15627" width="10" style="1" customWidth="1"/>
    <col min="15628" max="15628" width="1.7109375" style="1" customWidth="1"/>
    <col min="15629" max="15629" width="12.42578125" style="1" customWidth="1"/>
    <col min="15630" max="15630" width="2" style="1" customWidth="1"/>
    <col min="15631" max="15631" width="13.85546875" style="1" customWidth="1"/>
    <col min="15632" max="15632" width="3.85546875" style="1" customWidth="1"/>
    <col min="15633" max="15633" width="12.42578125" style="1" customWidth="1"/>
    <col min="15634" max="15634" width="12.5703125" style="1" customWidth="1"/>
    <col min="15635" max="15635" width="12.7109375" style="1" bestFit="1" customWidth="1"/>
    <col min="15636" max="15638" width="6.85546875" style="1"/>
    <col min="15639" max="15639" width="10.140625" style="1" bestFit="1" customWidth="1"/>
    <col min="15640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7" width="11.42578125" style="1" customWidth="1"/>
    <col min="15878" max="15878" width="13.140625" style="1" customWidth="1"/>
    <col min="15879" max="15879" width="11.140625" style="1" customWidth="1"/>
    <col min="15880" max="15880" width="10.7109375" style="1" customWidth="1"/>
    <col min="15881" max="15881" width="9" style="1" customWidth="1"/>
    <col min="15882" max="15882" width="9.140625" style="1" customWidth="1"/>
    <col min="15883" max="15883" width="10" style="1" customWidth="1"/>
    <col min="15884" max="15884" width="1.7109375" style="1" customWidth="1"/>
    <col min="15885" max="15885" width="12.42578125" style="1" customWidth="1"/>
    <col min="15886" max="15886" width="2" style="1" customWidth="1"/>
    <col min="15887" max="15887" width="13.85546875" style="1" customWidth="1"/>
    <col min="15888" max="15888" width="3.85546875" style="1" customWidth="1"/>
    <col min="15889" max="15889" width="12.42578125" style="1" customWidth="1"/>
    <col min="15890" max="15890" width="12.5703125" style="1" customWidth="1"/>
    <col min="15891" max="15891" width="12.7109375" style="1" bestFit="1" customWidth="1"/>
    <col min="15892" max="15894" width="6.85546875" style="1"/>
    <col min="15895" max="15895" width="10.140625" style="1" bestFit="1" customWidth="1"/>
    <col min="15896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3" width="11.42578125" style="1" customWidth="1"/>
    <col min="16134" max="16134" width="13.140625" style="1" customWidth="1"/>
    <col min="16135" max="16135" width="11.140625" style="1" customWidth="1"/>
    <col min="16136" max="16136" width="10.7109375" style="1" customWidth="1"/>
    <col min="16137" max="16137" width="9" style="1" customWidth="1"/>
    <col min="16138" max="16138" width="9.140625" style="1" customWidth="1"/>
    <col min="16139" max="16139" width="10" style="1" customWidth="1"/>
    <col min="16140" max="16140" width="1.7109375" style="1" customWidth="1"/>
    <col min="16141" max="16141" width="12.42578125" style="1" customWidth="1"/>
    <col min="16142" max="16142" width="2" style="1" customWidth="1"/>
    <col min="16143" max="16143" width="13.85546875" style="1" customWidth="1"/>
    <col min="16144" max="16144" width="3.85546875" style="1" customWidth="1"/>
    <col min="16145" max="16145" width="12.42578125" style="1" customWidth="1"/>
    <col min="16146" max="16146" width="12.5703125" style="1" customWidth="1"/>
    <col min="16147" max="16147" width="12.7109375" style="1" bestFit="1" customWidth="1"/>
    <col min="16148" max="16150" width="6.85546875" style="1"/>
    <col min="16151" max="16151" width="10.140625" style="1" bestFit="1" customWidth="1"/>
    <col min="16152" max="16384" width="6.85546875" style="1"/>
  </cols>
  <sheetData>
    <row r="1" spans="1:23" ht="48" customHeight="1" x14ac:dyDescent="0.2">
      <c r="A1" s="95" t="s">
        <v>91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2">
        <f ca="1">YEAR(TODAY())-1</f>
        <v>2024</v>
      </c>
      <c r="Q1" s="1"/>
    </row>
    <row r="2" spans="1:23" ht="33" customHeight="1" x14ac:dyDescent="0.2">
      <c r="A2" s="3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8"/>
      <c r="L2" s="4"/>
      <c r="M2" s="5" t="s">
        <v>2</v>
      </c>
      <c r="Q2" s="6" t="s">
        <v>3</v>
      </c>
      <c r="R2" s="7" t="s">
        <v>4</v>
      </c>
    </row>
    <row r="3" spans="1:23" ht="81" customHeight="1" x14ac:dyDescent="0.2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3" t="s">
        <v>12</v>
      </c>
      <c r="I3" s="14" t="s">
        <v>13</v>
      </c>
      <c r="J3" s="13" t="s">
        <v>14</v>
      </c>
      <c r="K3" s="15" t="s">
        <v>15</v>
      </c>
      <c r="L3" s="16"/>
      <c r="M3" s="11" t="s">
        <v>16</v>
      </c>
      <c r="N3" s="17"/>
      <c r="O3" s="11" t="s">
        <v>17</v>
      </c>
      <c r="P3" s="18"/>
      <c r="Q3" s="19" t="s">
        <v>18</v>
      </c>
      <c r="R3" s="20" t="s">
        <v>19</v>
      </c>
      <c r="S3" s="65" t="s">
        <v>20</v>
      </c>
    </row>
    <row r="4" spans="1:23" ht="15" customHeight="1" x14ac:dyDescent="0.25">
      <c r="A4" s="22" t="s">
        <v>21</v>
      </c>
      <c r="B4" s="23">
        <v>941980</v>
      </c>
      <c r="C4" s="24"/>
      <c r="D4" s="25"/>
      <c r="F4" s="25"/>
      <c r="G4" s="27">
        <v>3930</v>
      </c>
      <c r="H4" s="25">
        <v>18690</v>
      </c>
      <c r="I4" s="25"/>
      <c r="J4" s="25"/>
      <c r="K4" s="28">
        <v>785</v>
      </c>
      <c r="L4" s="25"/>
      <c r="M4" s="28">
        <v>57060</v>
      </c>
      <c r="N4" s="29"/>
      <c r="O4" s="56">
        <f t="shared" ref="O4:O35" si="0">SUM(B4:M4)</f>
        <v>1022445</v>
      </c>
      <c r="P4" s="18"/>
      <c r="Q4" s="31">
        <f>(S4-M4)</f>
        <v>50000</v>
      </c>
      <c r="R4" s="32"/>
      <c r="S4" s="32">
        <f>(9.7+97.36)*1000</f>
        <v>107060</v>
      </c>
    </row>
    <row r="5" spans="1:23" ht="15" customHeight="1" x14ac:dyDescent="0.25">
      <c r="A5" s="22" t="s">
        <v>22</v>
      </c>
      <c r="B5" s="23">
        <v>623800</v>
      </c>
      <c r="C5" s="24"/>
      <c r="D5" s="25"/>
      <c r="E5" s="26">
        <v>1301810</v>
      </c>
      <c r="F5" s="25"/>
      <c r="G5" s="27">
        <v>76210</v>
      </c>
      <c r="H5" s="25">
        <v>20690</v>
      </c>
      <c r="I5" s="25"/>
      <c r="J5" s="25"/>
      <c r="K5" s="28">
        <v>1605</v>
      </c>
      <c r="L5" s="25"/>
      <c r="M5" s="28">
        <v>207590</v>
      </c>
      <c r="N5" s="29"/>
      <c r="O5" s="56">
        <f t="shared" si="0"/>
        <v>2231705</v>
      </c>
      <c r="P5" s="18"/>
      <c r="Q5" s="31">
        <f t="shared" ref="Q5:Q68" si="1">(S5-M5)</f>
        <v>160810</v>
      </c>
      <c r="R5" s="32"/>
      <c r="S5" s="32">
        <v>368400</v>
      </c>
      <c r="W5" s="1">
        <v>1000</v>
      </c>
    </row>
    <row r="6" spans="1:23" ht="15" customHeight="1" x14ac:dyDescent="0.25">
      <c r="A6" s="22" t="s">
        <v>23</v>
      </c>
      <c r="B6" s="23">
        <v>1523890</v>
      </c>
      <c r="C6" s="24">
        <v>2850</v>
      </c>
      <c r="D6" s="25"/>
      <c r="E6" s="26"/>
      <c r="F6" s="25">
        <v>231380</v>
      </c>
      <c r="G6" s="27">
        <v>136120</v>
      </c>
      <c r="H6" s="25"/>
      <c r="I6" s="25"/>
      <c r="J6" s="25"/>
      <c r="K6" s="28">
        <v>6048</v>
      </c>
      <c r="L6" s="25"/>
      <c r="M6" s="28">
        <v>194410</v>
      </c>
      <c r="N6" s="29"/>
      <c r="O6" s="56">
        <f t="shared" si="0"/>
        <v>2094698</v>
      </c>
      <c r="P6" s="18"/>
      <c r="Q6" s="31">
        <f t="shared" si="1"/>
        <v>150610</v>
      </c>
      <c r="R6" s="32"/>
      <c r="S6" s="32">
        <v>345020</v>
      </c>
    </row>
    <row r="7" spans="1:23" ht="25.5" customHeight="1" x14ac:dyDescent="0.25">
      <c r="A7" s="22" t="s">
        <v>24</v>
      </c>
      <c r="B7" s="23">
        <v>1725550</v>
      </c>
      <c r="C7" s="24"/>
      <c r="D7" s="25"/>
      <c r="E7" s="26"/>
      <c r="F7" s="25">
        <v>421200</v>
      </c>
      <c r="G7" s="27">
        <v>31450</v>
      </c>
      <c r="H7" s="25"/>
      <c r="I7" s="25"/>
      <c r="J7" s="25">
        <v>4390</v>
      </c>
      <c r="K7" s="28">
        <v>2051</v>
      </c>
      <c r="L7" s="25"/>
      <c r="M7" s="28">
        <v>86650</v>
      </c>
      <c r="N7" s="29"/>
      <c r="O7" s="56">
        <f t="shared" si="0"/>
        <v>2271291</v>
      </c>
      <c r="P7" s="18"/>
      <c r="Q7" s="31">
        <f t="shared" si="1"/>
        <v>74970</v>
      </c>
      <c r="R7" s="32"/>
      <c r="S7" s="32">
        <v>161620</v>
      </c>
    </row>
    <row r="8" spans="1:23" ht="15" customHeight="1" x14ac:dyDescent="0.25">
      <c r="A8" s="22" t="s">
        <v>25</v>
      </c>
      <c r="B8" s="23">
        <v>59280</v>
      </c>
      <c r="C8" s="34"/>
      <c r="D8" s="25"/>
      <c r="E8" s="26"/>
      <c r="G8" s="27"/>
      <c r="H8" s="25"/>
      <c r="I8" s="25"/>
      <c r="J8" s="25"/>
      <c r="K8" s="28">
        <v>0</v>
      </c>
      <c r="L8" s="25"/>
      <c r="M8" s="28">
        <v>0</v>
      </c>
      <c r="N8" s="29"/>
      <c r="O8" s="56">
        <f t="shared" si="0"/>
        <v>59280</v>
      </c>
      <c r="P8" s="18"/>
      <c r="Q8" s="31">
        <f t="shared" si="1"/>
        <v>0</v>
      </c>
      <c r="R8" s="32"/>
      <c r="S8" s="32">
        <v>0</v>
      </c>
    </row>
    <row r="9" spans="1:23" ht="15" customHeight="1" x14ac:dyDescent="0.25">
      <c r="A9" s="22" t="s">
        <v>26</v>
      </c>
      <c r="B9" s="23">
        <v>15305380</v>
      </c>
      <c r="C9" s="24">
        <v>3800</v>
      </c>
      <c r="D9" s="25"/>
      <c r="E9" s="26">
        <v>203890</v>
      </c>
      <c r="F9" s="25">
        <v>11007910</v>
      </c>
      <c r="G9" s="27">
        <v>138040</v>
      </c>
      <c r="H9" s="25">
        <v>304650</v>
      </c>
      <c r="I9" s="25">
        <v>85090</v>
      </c>
      <c r="J9" s="25"/>
      <c r="K9" s="28">
        <v>0</v>
      </c>
      <c r="L9" s="25"/>
      <c r="M9" s="28">
        <v>0</v>
      </c>
      <c r="N9" s="29"/>
      <c r="O9" s="56">
        <f t="shared" si="0"/>
        <v>27048760</v>
      </c>
      <c r="P9" s="18"/>
      <c r="Q9" s="31">
        <f t="shared" si="1"/>
        <v>2524060</v>
      </c>
      <c r="R9" s="32"/>
      <c r="S9" s="32">
        <v>2524060</v>
      </c>
    </row>
    <row r="10" spans="1:23" ht="15" customHeight="1" x14ac:dyDescent="0.25">
      <c r="A10" s="22" t="s">
        <v>27</v>
      </c>
      <c r="B10" s="23">
        <v>1038180</v>
      </c>
      <c r="C10" s="24"/>
      <c r="D10" s="25"/>
      <c r="E10" s="26">
        <v>681210</v>
      </c>
      <c r="F10" s="25">
        <v>479630</v>
      </c>
      <c r="G10" s="27">
        <v>53210</v>
      </c>
      <c r="H10" s="25"/>
      <c r="I10" s="25"/>
      <c r="J10" s="25"/>
      <c r="K10" s="28">
        <v>1991</v>
      </c>
      <c r="L10" s="25"/>
      <c r="M10" s="28">
        <v>165880</v>
      </c>
      <c r="N10" s="29"/>
      <c r="O10" s="56">
        <f t="shared" si="0"/>
        <v>2420101</v>
      </c>
      <c r="P10" s="18"/>
      <c r="Q10" s="31">
        <f t="shared" si="1"/>
        <v>139820</v>
      </c>
      <c r="R10" s="32"/>
      <c r="S10" s="32">
        <f>(22.64+283.06)*1000</f>
        <v>305700</v>
      </c>
    </row>
    <row r="11" spans="1:23" ht="15" customHeight="1" x14ac:dyDescent="0.25">
      <c r="A11" s="22" t="s">
        <v>28</v>
      </c>
      <c r="B11" s="23">
        <v>80220</v>
      </c>
      <c r="C11" s="24"/>
      <c r="D11" s="25"/>
      <c r="E11" s="26">
        <v>578115</v>
      </c>
      <c r="F11" s="25"/>
      <c r="G11" s="27"/>
      <c r="H11" s="25"/>
      <c r="I11" s="25"/>
      <c r="J11" s="25"/>
      <c r="K11" s="28">
        <v>0</v>
      </c>
      <c r="L11" s="25"/>
      <c r="M11" s="28">
        <v>23110</v>
      </c>
      <c r="N11" s="29"/>
      <c r="O11" s="56">
        <f t="shared" si="0"/>
        <v>681445</v>
      </c>
      <c r="P11" s="18"/>
      <c r="Q11" s="31">
        <f t="shared" si="1"/>
        <v>18230</v>
      </c>
      <c r="R11" s="32"/>
      <c r="S11" s="32">
        <f>(19+22.34)*1000</f>
        <v>41340</v>
      </c>
    </row>
    <row r="12" spans="1:23" ht="15" customHeight="1" x14ac:dyDescent="0.25">
      <c r="A12" s="22" t="s">
        <v>29</v>
      </c>
      <c r="B12" s="23">
        <v>700180</v>
      </c>
      <c r="C12" s="24">
        <v>793060</v>
      </c>
      <c r="D12" s="25"/>
      <c r="E12" s="26">
        <v>100370</v>
      </c>
      <c r="F12" s="25"/>
      <c r="G12" s="27"/>
      <c r="H12" s="25">
        <v>60660</v>
      </c>
      <c r="I12" s="25"/>
      <c r="J12" s="25"/>
      <c r="K12" s="28">
        <v>1978</v>
      </c>
      <c r="L12" s="25"/>
      <c r="M12" s="28">
        <v>125810</v>
      </c>
      <c r="N12" s="29"/>
      <c r="O12" s="56">
        <f t="shared" si="0"/>
        <v>1782058</v>
      </c>
      <c r="P12" s="18"/>
      <c r="Q12" s="31">
        <f t="shared" si="1"/>
        <v>108840</v>
      </c>
      <c r="R12" s="32"/>
      <c r="S12" s="32">
        <v>234650</v>
      </c>
    </row>
    <row r="13" spans="1:23" ht="24" customHeight="1" x14ac:dyDescent="0.25">
      <c r="A13" s="22" t="s">
        <v>30</v>
      </c>
      <c r="B13" s="23">
        <v>2308640</v>
      </c>
      <c r="C13" s="24"/>
      <c r="D13" s="25"/>
      <c r="E13" s="26"/>
      <c r="F13" s="25">
        <v>820230</v>
      </c>
      <c r="G13" s="27">
        <v>7900</v>
      </c>
      <c r="H13" s="25">
        <v>27600</v>
      </c>
      <c r="I13" s="25"/>
      <c r="J13" s="25"/>
      <c r="K13" s="28">
        <v>469</v>
      </c>
      <c r="L13" s="25"/>
      <c r="M13" s="28">
        <v>278430</v>
      </c>
      <c r="N13" s="29"/>
      <c r="O13" s="56">
        <f t="shared" si="0"/>
        <v>3443269</v>
      </c>
      <c r="P13" s="18"/>
      <c r="Q13" s="31">
        <f t="shared" si="1"/>
        <v>215690</v>
      </c>
      <c r="R13" s="32"/>
      <c r="S13" s="32">
        <v>494120</v>
      </c>
    </row>
    <row r="14" spans="1:23" ht="22.5" customHeight="1" x14ac:dyDescent="0.25">
      <c r="A14" s="22" t="s">
        <v>31</v>
      </c>
      <c r="B14" s="23">
        <v>1532990</v>
      </c>
      <c r="C14" s="24">
        <v>1343300</v>
      </c>
      <c r="D14" s="25"/>
      <c r="E14" s="26"/>
      <c r="F14" s="25"/>
      <c r="G14" s="27">
        <v>2960</v>
      </c>
      <c r="H14" s="25">
        <v>9770</v>
      </c>
      <c r="I14" s="25"/>
      <c r="J14" s="25"/>
      <c r="K14" s="28">
        <v>1121</v>
      </c>
      <c r="L14" s="25"/>
      <c r="M14" s="28">
        <v>25090</v>
      </c>
      <c r="N14" s="29"/>
      <c r="O14" s="56">
        <f t="shared" si="0"/>
        <v>2915231</v>
      </c>
      <c r="P14" s="18"/>
      <c r="Q14" s="31">
        <f t="shared" si="1"/>
        <v>17730</v>
      </c>
      <c r="R14" s="32"/>
      <c r="S14" s="32">
        <v>42820</v>
      </c>
    </row>
    <row r="15" spans="1:23" ht="21" customHeight="1" x14ac:dyDescent="0.25">
      <c r="A15" s="22" t="s">
        <v>32</v>
      </c>
      <c r="B15" s="23">
        <v>3977500</v>
      </c>
      <c r="C15" s="24">
        <v>432820</v>
      </c>
      <c r="D15" s="25">
        <v>370750</v>
      </c>
      <c r="E15" s="26"/>
      <c r="F15" s="25">
        <v>381380</v>
      </c>
      <c r="G15" s="27">
        <v>1560</v>
      </c>
      <c r="H15" s="25">
        <v>42180</v>
      </c>
      <c r="I15" s="25"/>
      <c r="J15" s="25"/>
      <c r="K15" s="28">
        <v>1237</v>
      </c>
      <c r="L15" s="25"/>
      <c r="M15" s="28">
        <v>176780</v>
      </c>
      <c r="N15" s="29"/>
      <c r="O15" s="56">
        <f t="shared" si="0"/>
        <v>5384207</v>
      </c>
      <c r="P15" s="18"/>
      <c r="Q15" s="31">
        <f t="shared" si="1"/>
        <v>152930</v>
      </c>
      <c r="R15" s="32"/>
      <c r="S15" s="32">
        <v>329710</v>
      </c>
    </row>
    <row r="16" spans="1:23" ht="30" customHeight="1" x14ac:dyDescent="0.25">
      <c r="A16" s="22" t="s">
        <v>33</v>
      </c>
      <c r="B16" s="23">
        <v>2362340</v>
      </c>
      <c r="C16" s="24"/>
      <c r="D16" s="25"/>
      <c r="E16" s="26"/>
      <c r="F16" s="25"/>
      <c r="G16" s="27"/>
      <c r="H16" s="25"/>
      <c r="I16" s="25"/>
      <c r="J16" s="25"/>
      <c r="K16" s="28">
        <v>2228</v>
      </c>
      <c r="L16" s="25"/>
      <c r="M16" s="28">
        <v>219470</v>
      </c>
      <c r="N16" s="29"/>
      <c r="O16" s="56">
        <f t="shared" si="0"/>
        <v>2584038</v>
      </c>
      <c r="P16" s="18"/>
      <c r="Q16" s="31">
        <f t="shared" si="1"/>
        <v>170010</v>
      </c>
      <c r="R16" s="32"/>
      <c r="S16" s="32">
        <v>389480</v>
      </c>
      <c r="W16" s="35"/>
    </row>
    <row r="17" spans="1:19" ht="15" customHeight="1" x14ac:dyDescent="0.25">
      <c r="A17" s="22" t="s">
        <v>34</v>
      </c>
      <c r="B17" s="23">
        <v>900470</v>
      </c>
      <c r="C17" s="24"/>
      <c r="D17" s="25"/>
      <c r="E17" s="26"/>
      <c r="F17" s="25">
        <v>4060</v>
      </c>
      <c r="G17" s="27">
        <v>55630</v>
      </c>
      <c r="H17" s="25"/>
      <c r="I17" s="25">
        <v>2700</v>
      </c>
      <c r="J17" s="25">
        <v>218320</v>
      </c>
      <c r="K17" s="28">
        <v>1544</v>
      </c>
      <c r="L17" s="25"/>
      <c r="M17" s="28">
        <v>0</v>
      </c>
      <c r="N17" s="29"/>
      <c r="O17" s="56">
        <f t="shared" si="0"/>
        <v>1182724</v>
      </c>
      <c r="P17" s="18"/>
      <c r="Q17" s="31">
        <f t="shared" si="1"/>
        <v>0</v>
      </c>
      <c r="R17" s="32"/>
      <c r="S17" s="32">
        <v>0</v>
      </c>
    </row>
    <row r="18" spans="1:19" ht="15" customHeight="1" x14ac:dyDescent="0.25">
      <c r="A18" s="22" t="s">
        <v>35</v>
      </c>
      <c r="B18" s="23">
        <v>1711640</v>
      </c>
      <c r="C18" s="24"/>
      <c r="D18" s="25"/>
      <c r="E18" s="26"/>
      <c r="F18" s="25">
        <v>13640</v>
      </c>
      <c r="G18" s="27">
        <v>44280</v>
      </c>
      <c r="H18" s="25">
        <v>23980</v>
      </c>
      <c r="I18" s="25"/>
      <c r="J18" s="25"/>
      <c r="K18" s="28">
        <v>0</v>
      </c>
      <c r="L18" s="25"/>
      <c r="M18" s="28">
        <v>0</v>
      </c>
      <c r="N18" s="29"/>
      <c r="O18" s="56">
        <f t="shared" si="0"/>
        <v>1793540</v>
      </c>
      <c r="P18" s="18"/>
      <c r="Q18" s="31">
        <f t="shared" si="1"/>
        <v>0</v>
      </c>
      <c r="R18" s="32"/>
      <c r="S18" s="32">
        <v>0</v>
      </c>
    </row>
    <row r="19" spans="1:19" ht="15" customHeight="1" x14ac:dyDescent="0.25">
      <c r="A19" s="22" t="s">
        <v>36</v>
      </c>
      <c r="B19" s="23">
        <v>1294670</v>
      </c>
      <c r="C19" s="24"/>
      <c r="D19" s="25"/>
      <c r="E19" s="26"/>
      <c r="F19" s="25">
        <v>272740</v>
      </c>
      <c r="G19" s="27">
        <v>21050</v>
      </c>
      <c r="H19" s="25"/>
      <c r="I19" s="25"/>
      <c r="J19" s="25"/>
      <c r="K19" s="28">
        <v>0</v>
      </c>
      <c r="L19" s="25"/>
      <c r="M19" s="28">
        <v>100940</v>
      </c>
      <c r="N19" s="29"/>
      <c r="O19" s="56">
        <f t="shared" si="0"/>
        <v>1689400</v>
      </c>
      <c r="P19" s="18"/>
      <c r="Q19" s="31">
        <f t="shared" si="1"/>
        <v>87330</v>
      </c>
      <c r="R19" s="32"/>
      <c r="S19" s="32">
        <v>188270</v>
      </c>
    </row>
    <row r="20" spans="1:19" ht="15" customHeight="1" x14ac:dyDescent="0.25">
      <c r="A20" s="22" t="s">
        <v>37</v>
      </c>
      <c r="B20" s="23">
        <v>3190330</v>
      </c>
      <c r="C20" s="24"/>
      <c r="D20" s="25"/>
      <c r="E20" s="26"/>
      <c r="F20" s="25"/>
      <c r="G20" s="27">
        <v>106610</v>
      </c>
      <c r="H20" s="25">
        <v>38570</v>
      </c>
      <c r="I20" s="25"/>
      <c r="J20" s="25"/>
      <c r="K20" s="28">
        <v>1360</v>
      </c>
      <c r="L20" s="25"/>
      <c r="M20" s="28">
        <v>373030</v>
      </c>
      <c r="N20" s="29"/>
      <c r="O20" s="56">
        <f t="shared" si="0"/>
        <v>3709900</v>
      </c>
      <c r="P20" s="18"/>
      <c r="Q20" s="31">
        <f t="shared" si="1"/>
        <v>288970</v>
      </c>
      <c r="R20" s="32"/>
      <c r="S20" s="32">
        <v>662000</v>
      </c>
    </row>
    <row r="21" spans="1:19" ht="15" customHeight="1" x14ac:dyDescent="0.25">
      <c r="A21" s="22" t="s">
        <v>38</v>
      </c>
      <c r="B21" s="23">
        <v>441340</v>
      </c>
      <c r="C21" s="24"/>
      <c r="D21" s="25"/>
      <c r="E21" s="26">
        <v>624490</v>
      </c>
      <c r="F21" s="25"/>
      <c r="G21" s="27">
        <v>17260</v>
      </c>
      <c r="H21" s="25">
        <v>2340</v>
      </c>
      <c r="I21" s="25"/>
      <c r="J21" s="25"/>
      <c r="K21" s="28">
        <v>0</v>
      </c>
      <c r="L21" s="25"/>
      <c r="M21" s="28">
        <v>43610</v>
      </c>
      <c r="N21" s="29"/>
      <c r="O21" s="56">
        <f t="shared" si="0"/>
        <v>1129040</v>
      </c>
      <c r="P21" s="18"/>
      <c r="Q21" s="31">
        <f t="shared" si="1"/>
        <v>33790</v>
      </c>
      <c r="R21" s="32"/>
      <c r="S21" s="32">
        <v>77400</v>
      </c>
    </row>
    <row r="22" spans="1:19" ht="20.25" customHeight="1" x14ac:dyDescent="0.25">
      <c r="A22" s="22" t="s">
        <v>39</v>
      </c>
      <c r="B22" s="23">
        <v>1499870</v>
      </c>
      <c r="C22" s="24">
        <v>1148150</v>
      </c>
      <c r="D22" s="25"/>
      <c r="E22" s="26"/>
      <c r="F22" s="25"/>
      <c r="G22" s="27">
        <v>345250</v>
      </c>
      <c r="H22" s="25"/>
      <c r="I22" s="25"/>
      <c r="J22" s="25"/>
      <c r="K22" s="28">
        <v>0</v>
      </c>
      <c r="L22" s="25"/>
      <c r="M22" s="28">
        <v>0</v>
      </c>
      <c r="N22" s="29"/>
      <c r="O22" s="56">
        <f t="shared" si="0"/>
        <v>2993270</v>
      </c>
      <c r="P22" s="18"/>
      <c r="Q22" s="31">
        <f t="shared" si="1"/>
        <v>0</v>
      </c>
      <c r="R22" s="32"/>
      <c r="S22" s="32">
        <v>0</v>
      </c>
    </row>
    <row r="23" spans="1:19" ht="15" customHeight="1" x14ac:dyDescent="0.25">
      <c r="A23" s="22" t="s">
        <v>40</v>
      </c>
      <c r="B23" s="23">
        <v>1289330</v>
      </c>
      <c r="C23" s="24"/>
      <c r="D23" s="25"/>
      <c r="E23" s="26"/>
      <c r="F23" s="25"/>
      <c r="G23" s="27"/>
      <c r="H23" s="25"/>
      <c r="I23" s="25"/>
      <c r="J23" s="25"/>
      <c r="K23" s="28">
        <v>2119</v>
      </c>
      <c r="L23" s="25"/>
      <c r="M23" s="28">
        <v>95550</v>
      </c>
      <c r="N23" s="29"/>
      <c r="O23" s="56">
        <f t="shared" si="0"/>
        <v>1386999</v>
      </c>
      <c r="P23" s="18"/>
      <c r="Q23" s="31">
        <f t="shared" si="1"/>
        <v>77349.999999999971</v>
      </c>
      <c r="R23" s="32"/>
      <c r="S23" s="32">
        <f>(9.86+163.04)*1000</f>
        <v>172899.99999999997</v>
      </c>
    </row>
    <row r="24" spans="1:19" ht="25.5" customHeight="1" x14ac:dyDescent="0.25">
      <c r="A24" s="22" t="s">
        <v>41</v>
      </c>
      <c r="B24" s="23">
        <v>1224450</v>
      </c>
      <c r="C24" s="24"/>
      <c r="D24" s="25">
        <v>106470</v>
      </c>
      <c r="E24" s="26">
        <v>328740</v>
      </c>
      <c r="F24" s="25">
        <v>15810</v>
      </c>
      <c r="G24" s="27">
        <v>13910</v>
      </c>
      <c r="H24" s="25">
        <v>21120</v>
      </c>
      <c r="I24" s="25"/>
      <c r="J24" s="25"/>
      <c r="K24" s="28">
        <v>1816</v>
      </c>
      <c r="L24" s="25"/>
      <c r="M24" s="28">
        <v>159960</v>
      </c>
      <c r="N24" s="29"/>
      <c r="O24" s="56">
        <f t="shared" si="0"/>
        <v>1872276</v>
      </c>
      <c r="P24" s="18"/>
      <c r="Q24" s="31">
        <f t="shared" si="1"/>
        <v>123920</v>
      </c>
      <c r="R24" s="32"/>
      <c r="S24" s="32">
        <v>283880</v>
      </c>
    </row>
    <row r="25" spans="1:19" ht="15" customHeight="1" x14ac:dyDescent="0.25">
      <c r="A25" s="36" t="s">
        <v>42</v>
      </c>
      <c r="B25" s="23">
        <v>1922080</v>
      </c>
      <c r="C25" s="24"/>
      <c r="D25" s="25"/>
      <c r="E25" s="26"/>
      <c r="F25" s="25"/>
      <c r="G25" s="27"/>
      <c r="H25" s="25"/>
      <c r="I25" s="25"/>
      <c r="J25" s="25"/>
      <c r="K25" s="28">
        <v>785</v>
      </c>
      <c r="L25" s="25"/>
      <c r="M25" s="28">
        <v>127790</v>
      </c>
      <c r="N25" s="29"/>
      <c r="O25" s="56">
        <f t="shared" si="0"/>
        <v>2050655</v>
      </c>
      <c r="P25" s="18"/>
      <c r="Q25" s="31">
        <f t="shared" si="1"/>
        <v>109770</v>
      </c>
      <c r="R25" s="32"/>
      <c r="S25" s="32">
        <f>(10.78+226.78)*1000</f>
        <v>237560</v>
      </c>
    </row>
    <row r="26" spans="1:19" ht="15" customHeight="1" x14ac:dyDescent="0.25">
      <c r="A26" s="22" t="s">
        <v>43</v>
      </c>
      <c r="B26" s="23">
        <v>2369960</v>
      </c>
      <c r="C26" s="24"/>
      <c r="D26" s="25"/>
      <c r="E26" s="26"/>
      <c r="F26" s="25"/>
      <c r="G26" s="27"/>
      <c r="H26" s="25">
        <v>6720</v>
      </c>
      <c r="I26" s="25"/>
      <c r="J26" s="25"/>
      <c r="K26" s="28">
        <v>1382</v>
      </c>
      <c r="L26" s="25"/>
      <c r="M26" s="28">
        <v>99320</v>
      </c>
      <c r="N26" s="29"/>
      <c r="O26" s="56">
        <f t="shared" si="0"/>
        <v>2477382</v>
      </c>
      <c r="P26" s="18"/>
      <c r="Q26" s="31">
        <f t="shared" si="1"/>
        <v>85920</v>
      </c>
      <c r="R26" s="32"/>
      <c r="S26" s="32">
        <v>185240</v>
      </c>
    </row>
    <row r="27" spans="1:19" ht="15" customHeight="1" x14ac:dyDescent="0.25">
      <c r="A27" s="22" t="s">
        <v>44</v>
      </c>
      <c r="B27" s="23">
        <v>1478390</v>
      </c>
      <c r="C27" s="24"/>
      <c r="D27" s="25"/>
      <c r="E27" s="26"/>
      <c r="F27" s="25"/>
      <c r="G27" s="27"/>
      <c r="H27" s="25"/>
      <c r="I27" s="25"/>
      <c r="J27" s="25">
        <v>250880</v>
      </c>
      <c r="K27" s="28">
        <v>1661</v>
      </c>
      <c r="L27" s="25"/>
      <c r="M27" s="28">
        <v>6990</v>
      </c>
      <c r="N27" s="29"/>
      <c r="O27" s="56">
        <f t="shared" si="0"/>
        <v>1737921</v>
      </c>
      <c r="P27" s="18"/>
      <c r="Q27" s="31">
        <f t="shared" si="1"/>
        <v>6050</v>
      </c>
      <c r="R27" s="32"/>
      <c r="S27" s="32">
        <v>13040</v>
      </c>
    </row>
    <row r="28" spans="1:19" ht="15" customHeight="1" x14ac:dyDescent="0.25">
      <c r="A28" s="22" t="s">
        <v>45</v>
      </c>
      <c r="B28" s="23">
        <v>2162120</v>
      </c>
      <c r="C28" s="24"/>
      <c r="D28" s="25"/>
      <c r="E28" s="26"/>
      <c r="F28" s="25">
        <v>568580</v>
      </c>
      <c r="G28" s="27">
        <v>55190</v>
      </c>
      <c r="H28" s="25">
        <v>26870</v>
      </c>
      <c r="I28" s="25"/>
      <c r="J28" s="25"/>
      <c r="K28" s="28">
        <v>1567</v>
      </c>
      <c r="L28" s="25"/>
      <c r="M28" s="28">
        <v>106600</v>
      </c>
      <c r="N28" s="29"/>
      <c r="O28" s="56">
        <f t="shared" si="0"/>
        <v>2920927</v>
      </c>
      <c r="P28" s="18"/>
      <c r="Q28" s="31">
        <f t="shared" si="1"/>
        <v>92230</v>
      </c>
      <c r="R28" s="32"/>
      <c r="S28" s="32">
        <v>198830</v>
      </c>
    </row>
    <row r="29" spans="1:19" ht="15" customHeight="1" x14ac:dyDescent="0.25">
      <c r="A29" s="22" t="s">
        <v>46</v>
      </c>
      <c r="B29" s="23">
        <v>789660</v>
      </c>
      <c r="C29" s="24"/>
      <c r="D29" s="25"/>
      <c r="E29" s="26"/>
      <c r="F29" s="25"/>
      <c r="G29" s="27">
        <v>7360</v>
      </c>
      <c r="H29" s="25">
        <v>2370</v>
      </c>
      <c r="I29" s="25"/>
      <c r="J29" s="25"/>
      <c r="K29" s="28">
        <v>1034</v>
      </c>
      <c r="L29" s="25"/>
      <c r="M29" s="28">
        <v>51130</v>
      </c>
      <c r="N29" s="29"/>
      <c r="O29" s="56">
        <f t="shared" si="0"/>
        <v>851554</v>
      </c>
      <c r="P29" s="18"/>
      <c r="Q29" s="31">
        <f t="shared" si="1"/>
        <v>44240</v>
      </c>
      <c r="R29" s="32"/>
      <c r="S29" s="32">
        <v>95370</v>
      </c>
    </row>
    <row r="30" spans="1:19" ht="15" customHeight="1" x14ac:dyDescent="0.25">
      <c r="A30" s="22" t="s">
        <v>47</v>
      </c>
      <c r="B30" s="23">
        <v>1111080</v>
      </c>
      <c r="C30" s="24"/>
      <c r="D30" s="25"/>
      <c r="E30" s="26">
        <v>1525670</v>
      </c>
      <c r="F30" s="25">
        <v>463280</v>
      </c>
      <c r="G30" s="27">
        <v>58140</v>
      </c>
      <c r="H30" s="25">
        <v>26630</v>
      </c>
      <c r="I30" s="25"/>
      <c r="J30" s="25">
        <v>101690</v>
      </c>
      <c r="K30" s="28">
        <v>968</v>
      </c>
      <c r="L30" s="25"/>
      <c r="M30" s="28">
        <v>176390</v>
      </c>
      <c r="N30" s="29"/>
      <c r="O30" s="56">
        <f t="shared" si="0"/>
        <v>3463848</v>
      </c>
      <c r="P30" s="18"/>
      <c r="Q30" s="31">
        <f t="shared" si="1"/>
        <v>145410</v>
      </c>
      <c r="R30" s="32"/>
      <c r="S30" s="32">
        <f>(180.84+140.96)*1000</f>
        <v>321800</v>
      </c>
    </row>
    <row r="31" spans="1:19" ht="25.5" customHeight="1" x14ac:dyDescent="0.25">
      <c r="A31" s="22" t="s">
        <v>48</v>
      </c>
      <c r="B31" s="23">
        <v>1152420</v>
      </c>
      <c r="C31" s="24"/>
      <c r="D31" s="25"/>
      <c r="E31" s="26">
        <v>1424810</v>
      </c>
      <c r="F31" s="25">
        <v>145120</v>
      </c>
      <c r="G31" s="27">
        <v>57060</v>
      </c>
      <c r="H31" s="25">
        <v>33500</v>
      </c>
      <c r="I31" s="25">
        <v>5100</v>
      </c>
      <c r="J31" s="25"/>
      <c r="K31" s="28">
        <v>1224</v>
      </c>
      <c r="L31" s="25"/>
      <c r="M31" s="28">
        <v>155880</v>
      </c>
      <c r="N31" s="29"/>
      <c r="O31" s="56">
        <f t="shared" si="0"/>
        <v>2975114</v>
      </c>
      <c r="P31" s="18"/>
      <c r="Q31" s="31">
        <f t="shared" si="1"/>
        <v>130690</v>
      </c>
      <c r="R31" s="32"/>
      <c r="S31" s="32">
        <f>(241.87+44.7)*1000</f>
        <v>286570</v>
      </c>
    </row>
    <row r="32" spans="1:19" ht="15" customHeight="1" x14ac:dyDescent="0.25">
      <c r="A32" s="22" t="s">
        <v>49</v>
      </c>
      <c r="B32" s="23">
        <v>4013900</v>
      </c>
      <c r="C32" s="24"/>
      <c r="D32" s="25"/>
      <c r="E32" s="26"/>
      <c r="F32" s="25"/>
      <c r="G32" s="27">
        <v>55210</v>
      </c>
      <c r="H32" s="25">
        <v>19800</v>
      </c>
      <c r="I32" s="25"/>
      <c r="J32" s="25"/>
      <c r="K32" s="28">
        <v>1217</v>
      </c>
      <c r="L32" s="25"/>
      <c r="M32" s="28">
        <v>170870</v>
      </c>
      <c r="N32" s="29"/>
      <c r="O32" s="56">
        <f t="shared" si="0"/>
        <v>4260997</v>
      </c>
      <c r="P32" s="18"/>
      <c r="Q32" s="31">
        <f t="shared" si="1"/>
        <v>194450</v>
      </c>
      <c r="R32" s="32"/>
      <c r="S32" s="32">
        <f>(62.08+303.24)*1000</f>
        <v>365320</v>
      </c>
    </row>
    <row r="33" spans="1:19" ht="15" customHeight="1" x14ac:dyDescent="0.25">
      <c r="A33" s="22" t="s">
        <v>50</v>
      </c>
      <c r="B33" s="23">
        <v>681570</v>
      </c>
      <c r="C33" s="24"/>
      <c r="D33" s="25"/>
      <c r="E33" s="26">
        <v>1070595</v>
      </c>
      <c r="F33" s="25"/>
      <c r="G33" s="27">
        <v>2850</v>
      </c>
      <c r="H33" s="25"/>
      <c r="I33" s="25"/>
      <c r="J33" s="25"/>
      <c r="K33" s="28">
        <v>0</v>
      </c>
      <c r="L33" s="25"/>
      <c r="M33" s="28">
        <v>35090</v>
      </c>
      <c r="N33" s="29"/>
      <c r="O33" s="56">
        <f t="shared" si="0"/>
        <v>1790105</v>
      </c>
      <c r="P33" s="18"/>
      <c r="Q33" s="31">
        <f t="shared" si="1"/>
        <v>29919.999999999993</v>
      </c>
      <c r="R33" s="32"/>
      <c r="S33" s="32">
        <f>(59.87+5.14)*1000</f>
        <v>65009.999999999993</v>
      </c>
    </row>
    <row r="34" spans="1:19" ht="15" customHeight="1" x14ac:dyDescent="0.25">
      <c r="A34" s="22" t="s">
        <v>51</v>
      </c>
      <c r="B34" s="23">
        <v>1834190</v>
      </c>
      <c r="C34" s="24"/>
      <c r="D34" s="25"/>
      <c r="E34" s="26"/>
      <c r="F34" s="25"/>
      <c r="G34" s="27"/>
      <c r="H34" s="25">
        <v>28080</v>
      </c>
      <c r="I34" s="25"/>
      <c r="J34" s="25"/>
      <c r="K34" s="28">
        <v>0</v>
      </c>
      <c r="L34" s="25"/>
      <c r="M34" s="28">
        <v>134990</v>
      </c>
      <c r="N34" s="34"/>
      <c r="O34" s="56">
        <f t="shared" si="0"/>
        <v>1997260</v>
      </c>
      <c r="P34" s="18"/>
      <c r="Q34" s="31">
        <f t="shared" si="1"/>
        <v>104570</v>
      </c>
      <c r="R34" s="32"/>
      <c r="S34" s="32">
        <v>239560</v>
      </c>
    </row>
    <row r="35" spans="1:19" ht="15" customHeight="1" x14ac:dyDescent="0.25">
      <c r="A35" s="22" t="s">
        <v>52</v>
      </c>
      <c r="B35" s="23">
        <v>139490</v>
      </c>
      <c r="C35" s="24"/>
      <c r="D35" s="25"/>
      <c r="E35" s="26"/>
      <c r="F35" s="25"/>
      <c r="G35" s="27"/>
      <c r="H35" s="25"/>
      <c r="I35" s="25"/>
      <c r="J35" s="25"/>
      <c r="K35" s="28">
        <v>0</v>
      </c>
      <c r="L35" s="25"/>
      <c r="M35" s="28">
        <v>35920</v>
      </c>
      <c r="N35" s="34"/>
      <c r="O35" s="56">
        <f t="shared" si="0"/>
        <v>175410</v>
      </c>
      <c r="P35" s="18"/>
      <c r="Q35" s="31">
        <f t="shared" si="1"/>
        <v>31080</v>
      </c>
      <c r="R35" s="32"/>
      <c r="S35" s="32">
        <v>67000</v>
      </c>
    </row>
    <row r="36" spans="1:19" ht="15" customHeight="1" x14ac:dyDescent="0.25">
      <c r="A36" s="22" t="s">
        <v>53</v>
      </c>
      <c r="B36" s="23">
        <v>926310</v>
      </c>
      <c r="C36" s="24"/>
      <c r="D36" s="25"/>
      <c r="E36" s="26"/>
      <c r="F36" s="25"/>
      <c r="G36" s="27"/>
      <c r="H36" s="25"/>
      <c r="I36" s="25"/>
      <c r="J36" s="25"/>
      <c r="K36" s="28">
        <v>0</v>
      </c>
      <c r="L36" s="25"/>
      <c r="M36" s="28">
        <v>64360</v>
      </c>
      <c r="N36" s="34"/>
      <c r="O36" s="56">
        <f>SUM(B36:M36)</f>
        <v>990670</v>
      </c>
      <c r="P36" s="18"/>
      <c r="Q36" s="31">
        <f t="shared" si="1"/>
        <v>49860</v>
      </c>
      <c r="R36" s="32"/>
      <c r="S36" s="32">
        <v>114220</v>
      </c>
    </row>
    <row r="37" spans="1:19" ht="25.5" customHeight="1" x14ac:dyDescent="0.25">
      <c r="A37" s="22" t="s">
        <v>54</v>
      </c>
      <c r="B37" s="23">
        <v>958720</v>
      </c>
      <c r="C37" s="24"/>
      <c r="D37" s="25"/>
      <c r="E37" s="26"/>
      <c r="F37" s="25"/>
      <c r="G37" s="27"/>
      <c r="H37" s="25"/>
      <c r="I37" s="25"/>
      <c r="J37" s="25"/>
      <c r="K37" s="28">
        <v>0</v>
      </c>
      <c r="L37" s="25"/>
      <c r="M37" s="28">
        <v>86480</v>
      </c>
      <c r="N37" s="34"/>
      <c r="O37" s="56">
        <f t="shared" ref="O37:O69" si="2">SUM(B37:M37)</f>
        <v>1045200</v>
      </c>
      <c r="P37" s="18"/>
      <c r="Q37" s="31">
        <f t="shared" si="1"/>
        <v>74820</v>
      </c>
      <c r="R37" s="32"/>
      <c r="S37" s="32">
        <v>161300</v>
      </c>
    </row>
    <row r="38" spans="1:19" ht="12.75" customHeight="1" x14ac:dyDescent="0.25">
      <c r="A38" s="22" t="s">
        <v>55</v>
      </c>
      <c r="B38" s="23">
        <v>689720</v>
      </c>
      <c r="C38" s="24"/>
      <c r="D38" s="25"/>
      <c r="E38" s="26"/>
      <c r="F38" s="25"/>
      <c r="G38" s="27">
        <v>19810</v>
      </c>
      <c r="H38" s="25"/>
      <c r="I38" s="25"/>
      <c r="J38" s="25"/>
      <c r="K38" s="28">
        <v>384</v>
      </c>
      <c r="L38" s="25"/>
      <c r="M38" s="28">
        <v>21440</v>
      </c>
      <c r="N38" s="34"/>
      <c r="O38" s="56">
        <f t="shared" si="2"/>
        <v>731354</v>
      </c>
      <c r="P38" s="18"/>
      <c r="Q38" s="31">
        <f t="shared" si="1"/>
        <v>15140</v>
      </c>
      <c r="R38" s="32"/>
      <c r="S38" s="32">
        <v>36580</v>
      </c>
    </row>
    <row r="39" spans="1:19" ht="16.5" customHeight="1" x14ac:dyDescent="0.25">
      <c r="A39" s="22" t="s">
        <v>56</v>
      </c>
      <c r="B39" s="23">
        <v>1604660</v>
      </c>
      <c r="C39" s="24"/>
      <c r="D39" s="25">
        <v>112460</v>
      </c>
      <c r="E39" s="26"/>
      <c r="F39" s="25"/>
      <c r="G39" s="27"/>
      <c r="H39" s="25">
        <v>5760</v>
      </c>
      <c r="I39" s="25"/>
      <c r="J39" s="25"/>
      <c r="K39" s="28">
        <v>0</v>
      </c>
      <c r="L39" s="25"/>
      <c r="M39" s="28">
        <v>50220</v>
      </c>
      <c r="N39" s="34"/>
      <c r="O39" s="56">
        <f t="shared" si="2"/>
        <v>1773100</v>
      </c>
      <c r="P39" s="18"/>
      <c r="Q39" s="31">
        <f t="shared" si="1"/>
        <v>38900</v>
      </c>
      <c r="R39" s="32"/>
      <c r="S39" s="32">
        <v>89120</v>
      </c>
    </row>
    <row r="40" spans="1:19" ht="30" customHeight="1" x14ac:dyDescent="0.25">
      <c r="A40" s="22" t="s">
        <v>57</v>
      </c>
      <c r="B40" s="23">
        <v>1308590</v>
      </c>
      <c r="C40" s="24">
        <v>210610</v>
      </c>
      <c r="D40" s="25"/>
      <c r="E40" s="26"/>
      <c r="F40" s="25"/>
      <c r="G40" s="27"/>
      <c r="H40" s="25">
        <v>10240</v>
      </c>
      <c r="I40" s="25"/>
      <c r="J40" s="25"/>
      <c r="K40" s="28">
        <v>0</v>
      </c>
      <c r="L40" s="25"/>
      <c r="M40" s="28">
        <v>76710</v>
      </c>
      <c r="N40" s="34"/>
      <c r="O40" s="56">
        <f t="shared" si="2"/>
        <v>1606150</v>
      </c>
      <c r="P40" s="18"/>
      <c r="Q40" s="31">
        <f t="shared" si="1"/>
        <v>59430</v>
      </c>
      <c r="R40" s="32"/>
      <c r="S40" s="32">
        <v>136140</v>
      </c>
    </row>
    <row r="41" spans="1:19" ht="15" customHeight="1" x14ac:dyDescent="0.25">
      <c r="A41" s="22" t="s">
        <v>58</v>
      </c>
      <c r="B41" s="23">
        <v>1195290</v>
      </c>
      <c r="C41" s="24"/>
      <c r="D41" s="25"/>
      <c r="E41" s="26"/>
      <c r="F41" s="25"/>
      <c r="G41" s="27"/>
      <c r="H41" s="25">
        <v>19990</v>
      </c>
      <c r="I41" s="25"/>
      <c r="J41" s="25"/>
      <c r="K41" s="28">
        <v>0</v>
      </c>
      <c r="L41" s="25"/>
      <c r="M41" s="28">
        <v>73770</v>
      </c>
      <c r="N41" s="25"/>
      <c r="O41" s="56">
        <f t="shared" si="2"/>
        <v>1289050</v>
      </c>
      <c r="P41" s="18"/>
      <c r="Q41" s="31">
        <f t="shared" si="1"/>
        <v>52110</v>
      </c>
      <c r="R41" s="32"/>
      <c r="S41" s="32">
        <v>125880</v>
      </c>
    </row>
    <row r="42" spans="1:19" ht="15" customHeight="1" x14ac:dyDescent="0.25">
      <c r="A42" s="22" t="s">
        <v>59</v>
      </c>
      <c r="B42" s="23">
        <v>1289010</v>
      </c>
      <c r="C42" s="24"/>
      <c r="D42" s="25"/>
      <c r="E42" s="26"/>
      <c r="F42" s="25"/>
      <c r="G42" s="25">
        <v>17090</v>
      </c>
      <c r="H42" s="25">
        <v>14030</v>
      </c>
      <c r="I42" s="25"/>
      <c r="J42" s="25"/>
      <c r="K42" s="28">
        <v>883</v>
      </c>
      <c r="L42" s="25"/>
      <c r="M42" s="28">
        <v>127750</v>
      </c>
      <c r="N42" s="34"/>
      <c r="O42" s="56">
        <f t="shared" si="2"/>
        <v>1448763</v>
      </c>
      <c r="P42" s="18"/>
      <c r="Q42" s="31">
        <f t="shared" si="1"/>
        <v>91150</v>
      </c>
      <c r="R42" s="32"/>
      <c r="S42" s="32">
        <f>(23.6+195.3)*1000</f>
        <v>218900</v>
      </c>
    </row>
    <row r="43" spans="1:19" ht="15" customHeight="1" x14ac:dyDescent="0.25">
      <c r="A43" s="22" t="s">
        <v>60</v>
      </c>
      <c r="B43" s="23">
        <v>535420</v>
      </c>
      <c r="C43" s="24"/>
      <c r="D43" s="25">
        <v>97420</v>
      </c>
      <c r="E43" s="26">
        <v>485650</v>
      </c>
      <c r="F43" s="25">
        <v>405130</v>
      </c>
      <c r="G43" s="27">
        <v>87170</v>
      </c>
      <c r="H43" s="25">
        <v>102420</v>
      </c>
      <c r="I43" s="25"/>
      <c r="J43" s="25"/>
      <c r="K43" s="28">
        <v>876</v>
      </c>
      <c r="L43" s="25"/>
      <c r="M43" s="28">
        <v>126660</v>
      </c>
      <c r="N43" s="34"/>
      <c r="O43" s="56">
        <f t="shared" si="2"/>
        <v>1840746</v>
      </c>
      <c r="P43" s="18"/>
      <c r="Q43" s="31">
        <f t="shared" si="1"/>
        <v>90080</v>
      </c>
      <c r="R43" s="32"/>
      <c r="S43" s="32">
        <f>(200.74+16)*1000</f>
        <v>216740</v>
      </c>
    </row>
    <row r="44" spans="1:19" ht="15" customHeight="1" x14ac:dyDescent="0.25">
      <c r="A44" s="22" t="s">
        <v>61</v>
      </c>
      <c r="B44" s="23">
        <v>1713010</v>
      </c>
      <c r="C44" s="24"/>
      <c r="D44" s="25"/>
      <c r="E44" s="26"/>
      <c r="F44" s="25">
        <v>424230</v>
      </c>
      <c r="G44" s="27">
        <v>32030</v>
      </c>
      <c r="H44" s="25">
        <v>16930</v>
      </c>
      <c r="I44" s="25">
        <v>4790</v>
      </c>
      <c r="J44" s="25"/>
      <c r="K44" s="28">
        <v>0</v>
      </c>
      <c r="L44" s="25"/>
      <c r="M44" s="28">
        <v>143970</v>
      </c>
      <c r="N44" s="34"/>
      <c r="O44" s="56">
        <f t="shared" si="2"/>
        <v>2334960</v>
      </c>
      <c r="P44" s="18"/>
      <c r="Q44" s="31">
        <f t="shared" si="1"/>
        <v>124550</v>
      </c>
      <c r="R44" s="32"/>
      <c r="S44" s="32">
        <v>268520</v>
      </c>
    </row>
    <row r="45" spans="1:19" ht="15" customHeight="1" x14ac:dyDescent="0.25">
      <c r="A45" s="22" t="s">
        <v>62</v>
      </c>
      <c r="B45" s="23">
        <v>2048900</v>
      </c>
      <c r="C45" s="24"/>
      <c r="D45" s="25"/>
      <c r="E45" s="26">
        <v>316310</v>
      </c>
      <c r="F45" s="25"/>
      <c r="G45" s="27"/>
      <c r="H45" s="25">
        <v>18720</v>
      </c>
      <c r="I45" s="25"/>
      <c r="J45" s="25"/>
      <c r="K45" s="28">
        <v>1497</v>
      </c>
      <c r="L45" s="25"/>
      <c r="M45" s="28">
        <v>64760.000000000007</v>
      </c>
      <c r="N45" s="34"/>
      <c r="O45" s="56">
        <f t="shared" si="2"/>
        <v>2450187</v>
      </c>
      <c r="P45" s="18"/>
      <c r="Q45" s="31">
        <f t="shared" si="1"/>
        <v>50159.999999999993</v>
      </c>
      <c r="R45" s="32"/>
      <c r="S45" s="32">
        <v>114920</v>
      </c>
    </row>
    <row r="46" spans="1:19" ht="15.75" customHeight="1" x14ac:dyDescent="0.25">
      <c r="A46" s="22" t="s">
        <v>63</v>
      </c>
      <c r="B46" s="23">
        <v>1206500</v>
      </c>
      <c r="C46" s="24"/>
      <c r="D46" s="25"/>
      <c r="E46" s="26">
        <v>2082130</v>
      </c>
      <c r="F46" s="25"/>
      <c r="G46" s="27"/>
      <c r="H46" s="25">
        <v>82140</v>
      </c>
      <c r="I46" s="25"/>
      <c r="J46" s="25"/>
      <c r="K46" s="28">
        <v>2407</v>
      </c>
      <c r="L46" s="25"/>
      <c r="M46" s="28">
        <v>153780</v>
      </c>
      <c r="N46" s="34"/>
      <c r="O46" s="56">
        <f t="shared" si="2"/>
        <v>3526957</v>
      </c>
      <c r="P46" s="18"/>
      <c r="Q46" s="31">
        <f t="shared" si="1"/>
        <v>134180</v>
      </c>
      <c r="R46" s="32"/>
      <c r="S46" s="32">
        <f>(25.56+262.4)*1000</f>
        <v>287960</v>
      </c>
    </row>
    <row r="47" spans="1:19" ht="15" customHeight="1" x14ac:dyDescent="0.25">
      <c r="A47" s="22" t="s">
        <v>64</v>
      </c>
      <c r="B47" s="23">
        <v>1279330</v>
      </c>
      <c r="C47" s="24"/>
      <c r="D47" s="25"/>
      <c r="E47" s="26">
        <v>735800</v>
      </c>
      <c r="F47" s="25"/>
      <c r="G47" s="27">
        <v>71850</v>
      </c>
      <c r="H47" s="25">
        <v>165940</v>
      </c>
      <c r="I47" s="25"/>
      <c r="J47" s="25"/>
      <c r="K47" s="28">
        <v>968</v>
      </c>
      <c r="L47" s="25"/>
      <c r="M47" s="28">
        <v>212110</v>
      </c>
      <c r="N47" s="34"/>
      <c r="O47" s="56">
        <f t="shared" si="2"/>
        <v>2465998</v>
      </c>
      <c r="P47" s="18"/>
      <c r="Q47" s="31">
        <f t="shared" si="1"/>
        <v>163109.99999999994</v>
      </c>
      <c r="R47" s="32"/>
      <c r="S47" s="32">
        <f>(31.18+12.08+331.96)*1000</f>
        <v>375219.99999999994</v>
      </c>
    </row>
    <row r="48" spans="1:19" ht="15" customHeight="1" x14ac:dyDescent="0.25">
      <c r="A48" s="22" t="s">
        <v>65</v>
      </c>
      <c r="B48" s="23">
        <v>1134660</v>
      </c>
      <c r="C48" s="24"/>
      <c r="D48" s="25"/>
      <c r="E48" s="26"/>
      <c r="F48" s="25"/>
      <c r="G48" s="27"/>
      <c r="H48" s="25"/>
      <c r="I48" s="25"/>
      <c r="J48" s="25"/>
      <c r="K48" s="28">
        <v>0</v>
      </c>
      <c r="L48" s="25"/>
      <c r="M48" s="28">
        <v>116080</v>
      </c>
      <c r="N48" s="34"/>
      <c r="O48" s="56">
        <f t="shared" si="2"/>
        <v>1250740</v>
      </c>
      <c r="P48" s="18"/>
      <c r="Q48" s="31">
        <f t="shared" si="1"/>
        <v>89920</v>
      </c>
      <c r="R48" s="32"/>
      <c r="S48" s="32">
        <v>206000</v>
      </c>
    </row>
    <row r="49" spans="1:23" ht="14.25" customHeight="1" x14ac:dyDescent="0.25">
      <c r="A49" s="36" t="s">
        <v>66</v>
      </c>
      <c r="B49" s="23">
        <v>1977560</v>
      </c>
      <c r="C49" s="24"/>
      <c r="D49" s="25"/>
      <c r="E49" s="26"/>
      <c r="F49" s="25">
        <v>99540</v>
      </c>
      <c r="G49" s="27">
        <v>219960</v>
      </c>
      <c r="H49" s="25"/>
      <c r="I49" s="25"/>
      <c r="J49" s="25"/>
      <c r="K49" s="28">
        <v>1202</v>
      </c>
      <c r="L49" s="25"/>
      <c r="M49" s="28">
        <v>193380</v>
      </c>
      <c r="N49" s="34"/>
      <c r="O49" s="56">
        <f>SUM(B49:M49)</f>
        <v>2491642</v>
      </c>
      <c r="P49" s="18"/>
      <c r="Q49" s="31">
        <f t="shared" si="1"/>
        <v>149800</v>
      </c>
      <c r="R49" s="32"/>
      <c r="S49" s="32">
        <v>343180</v>
      </c>
    </row>
    <row r="50" spans="1:23" ht="17.25" customHeight="1" x14ac:dyDescent="0.25">
      <c r="A50" s="22" t="s">
        <v>67</v>
      </c>
      <c r="B50" s="23">
        <v>1261980</v>
      </c>
      <c r="C50" s="24"/>
      <c r="D50" s="25"/>
      <c r="E50" s="26"/>
      <c r="F50" s="25"/>
      <c r="G50" s="27">
        <v>122970</v>
      </c>
      <c r="H50" s="25">
        <v>24320</v>
      </c>
      <c r="I50" s="25"/>
      <c r="J50" s="25"/>
      <c r="K50" s="28">
        <v>1202</v>
      </c>
      <c r="L50" s="25"/>
      <c r="M50" s="28">
        <v>133880</v>
      </c>
      <c r="N50" s="34"/>
      <c r="O50" s="56">
        <f t="shared" si="2"/>
        <v>1544352</v>
      </c>
      <c r="P50" s="18"/>
      <c r="Q50" s="31">
        <f t="shared" si="1"/>
        <v>103720</v>
      </c>
      <c r="R50" s="32"/>
      <c r="S50" s="32">
        <v>237600</v>
      </c>
    </row>
    <row r="51" spans="1:23" ht="15" customHeight="1" x14ac:dyDescent="0.25">
      <c r="A51" s="22" t="s">
        <v>68</v>
      </c>
      <c r="B51" s="23">
        <v>4389800</v>
      </c>
      <c r="C51" s="24"/>
      <c r="D51" s="25"/>
      <c r="E51" s="26">
        <v>1513680</v>
      </c>
      <c r="F51" s="25">
        <v>59340</v>
      </c>
      <c r="G51" s="27">
        <v>13180</v>
      </c>
      <c r="H51" s="25">
        <v>46710</v>
      </c>
      <c r="I51" s="25"/>
      <c r="J51" s="25">
        <v>154130</v>
      </c>
      <c r="K51" s="28">
        <v>258</v>
      </c>
      <c r="L51" s="25"/>
      <c r="M51" s="28">
        <v>298950</v>
      </c>
      <c r="N51" s="34"/>
      <c r="O51" s="56">
        <f t="shared" si="2"/>
        <v>6476048</v>
      </c>
      <c r="P51" s="18"/>
      <c r="Q51" s="31">
        <f t="shared" si="1"/>
        <v>211170</v>
      </c>
      <c r="R51" s="32"/>
      <c r="S51" s="32">
        <v>510120</v>
      </c>
    </row>
    <row r="52" spans="1:23" ht="15" customHeight="1" x14ac:dyDescent="0.25">
      <c r="A52" s="22" t="s">
        <v>69</v>
      </c>
      <c r="B52" s="23">
        <v>850400</v>
      </c>
      <c r="C52" s="24"/>
      <c r="D52" s="25"/>
      <c r="E52" s="26"/>
      <c r="F52" s="25">
        <v>121760</v>
      </c>
      <c r="G52" s="27"/>
      <c r="H52" s="25">
        <v>13860</v>
      </c>
      <c r="I52" s="25"/>
      <c r="J52" s="25"/>
      <c r="K52" s="28">
        <v>695</v>
      </c>
      <c r="L52" s="25"/>
      <c r="M52" s="28">
        <v>109500</v>
      </c>
      <c r="N52" s="34"/>
      <c r="O52" s="56">
        <f t="shared" si="2"/>
        <v>1096215</v>
      </c>
      <c r="P52" s="18"/>
      <c r="Q52" s="31">
        <f t="shared" si="1"/>
        <v>84820</v>
      </c>
      <c r="R52" s="32"/>
      <c r="S52" s="32">
        <v>194320</v>
      </c>
    </row>
    <row r="53" spans="1:23" ht="15" customHeight="1" x14ac:dyDescent="0.25">
      <c r="A53" s="22" t="s">
        <v>70</v>
      </c>
      <c r="B53" s="23">
        <v>41110</v>
      </c>
      <c r="C53" s="24"/>
      <c r="D53" s="25">
        <v>169090</v>
      </c>
      <c r="E53" s="26">
        <v>663980</v>
      </c>
      <c r="F53" s="25"/>
      <c r="G53" s="27">
        <v>12630</v>
      </c>
      <c r="H53" s="25">
        <v>1890</v>
      </c>
      <c r="I53" s="25"/>
      <c r="J53" s="25"/>
      <c r="K53" s="28">
        <v>0</v>
      </c>
      <c r="L53" s="25"/>
      <c r="M53" s="28">
        <v>17870</v>
      </c>
      <c r="N53" s="34"/>
      <c r="O53" s="56">
        <f t="shared" si="2"/>
        <v>906570</v>
      </c>
      <c r="P53" s="18"/>
      <c r="Q53" s="31">
        <f t="shared" si="1"/>
        <v>16930</v>
      </c>
      <c r="R53" s="32"/>
      <c r="S53" s="32">
        <f>(4.3+30.5)*1000</f>
        <v>34800</v>
      </c>
    </row>
    <row r="54" spans="1:23" ht="15" customHeight="1" x14ac:dyDescent="0.25">
      <c r="A54" s="22" t="s">
        <v>71</v>
      </c>
      <c r="B54" s="23">
        <v>4370170</v>
      </c>
      <c r="C54" s="24"/>
      <c r="D54" s="25"/>
      <c r="E54" s="26"/>
      <c r="F54" s="25">
        <v>656300</v>
      </c>
      <c r="G54" s="27"/>
      <c r="H54" s="25">
        <v>192200</v>
      </c>
      <c r="I54" s="25">
        <v>850</v>
      </c>
      <c r="J54" s="25"/>
      <c r="K54" s="28">
        <v>149</v>
      </c>
      <c r="L54" s="25"/>
      <c r="M54" s="28">
        <v>270430</v>
      </c>
      <c r="N54" s="34"/>
      <c r="O54" s="56">
        <f t="shared" si="2"/>
        <v>5490099</v>
      </c>
      <c r="P54" s="18"/>
      <c r="Q54" s="31">
        <f t="shared" si="1"/>
        <v>233950</v>
      </c>
      <c r="R54" s="32"/>
      <c r="S54" s="32">
        <v>504380</v>
      </c>
    </row>
    <row r="55" spans="1:23" ht="15" customHeight="1" x14ac:dyDescent="0.25">
      <c r="A55" s="22" t="s">
        <v>72</v>
      </c>
      <c r="B55" s="23">
        <v>531850</v>
      </c>
      <c r="C55" s="24"/>
      <c r="D55" s="25"/>
      <c r="E55" s="26"/>
      <c r="F55" s="25">
        <v>948440</v>
      </c>
      <c r="G55" s="27">
        <v>28750</v>
      </c>
      <c r="H55" s="25"/>
      <c r="I55" s="25"/>
      <c r="J55" s="25">
        <v>223410</v>
      </c>
      <c r="K55" s="28">
        <v>0</v>
      </c>
      <c r="L55" s="25"/>
      <c r="M55" s="28">
        <v>0</v>
      </c>
      <c r="N55" s="34"/>
      <c r="O55" s="56">
        <f t="shared" si="2"/>
        <v>1732450</v>
      </c>
      <c r="P55" s="18"/>
      <c r="Q55" s="31">
        <f t="shared" si="1"/>
        <v>0</v>
      </c>
      <c r="R55" s="32"/>
      <c r="S55" s="32">
        <v>0</v>
      </c>
    </row>
    <row r="56" spans="1:23" ht="15" customHeight="1" x14ac:dyDescent="0.25">
      <c r="A56" s="22" t="s">
        <v>73</v>
      </c>
      <c r="B56" s="23">
        <v>187510</v>
      </c>
      <c r="C56" s="24"/>
      <c r="D56" s="25"/>
      <c r="E56" s="26"/>
      <c r="F56" s="25"/>
      <c r="G56" s="27"/>
      <c r="H56" s="25"/>
      <c r="I56" s="25"/>
      <c r="J56" s="25"/>
      <c r="K56" s="28">
        <v>0</v>
      </c>
      <c r="L56" s="25"/>
      <c r="M56" s="28">
        <v>14210</v>
      </c>
      <c r="N56" s="34"/>
      <c r="O56" s="56">
        <f t="shared" si="2"/>
        <v>201720</v>
      </c>
      <c r="P56" s="18"/>
      <c r="Q56" s="31">
        <f t="shared" si="1"/>
        <v>10030</v>
      </c>
      <c r="R56" s="32"/>
      <c r="S56" s="32">
        <v>24240</v>
      </c>
    </row>
    <row r="57" spans="1:23" ht="25.5" customHeight="1" x14ac:dyDescent="0.25">
      <c r="A57" s="22" t="s">
        <v>74</v>
      </c>
      <c r="B57" s="23">
        <v>942060</v>
      </c>
      <c r="C57" s="24"/>
      <c r="D57" s="25"/>
      <c r="E57" s="26"/>
      <c r="F57" s="25"/>
      <c r="G57" s="27"/>
      <c r="H57" s="25">
        <v>4360</v>
      </c>
      <c r="I57" s="25"/>
      <c r="J57" s="25">
        <v>99050</v>
      </c>
      <c r="K57" s="28">
        <v>964</v>
      </c>
      <c r="L57" s="25"/>
      <c r="M57" s="28">
        <v>16010.000000000002</v>
      </c>
      <c r="N57" s="34"/>
      <c r="O57" s="56">
        <f t="shared" si="2"/>
        <v>1062444</v>
      </c>
      <c r="P57" s="18"/>
      <c r="Q57" s="31">
        <f t="shared" si="1"/>
        <v>12409.999999999998</v>
      </c>
      <c r="R57" s="32"/>
      <c r="S57" s="32">
        <v>28420</v>
      </c>
    </row>
    <row r="58" spans="1:23" ht="19.5" customHeight="1" x14ac:dyDescent="0.25">
      <c r="A58" s="22" t="s">
        <v>75</v>
      </c>
      <c r="B58" s="23">
        <v>287530</v>
      </c>
      <c r="C58" s="24"/>
      <c r="D58" s="25">
        <v>348150</v>
      </c>
      <c r="E58" s="26">
        <v>1127820</v>
      </c>
      <c r="F58" s="25">
        <v>19580</v>
      </c>
      <c r="G58" s="27"/>
      <c r="H58" s="25">
        <v>11770</v>
      </c>
      <c r="I58" s="25"/>
      <c r="J58" s="25"/>
      <c r="K58" s="28">
        <v>0</v>
      </c>
      <c r="L58" s="25"/>
      <c r="M58" s="28">
        <v>18790</v>
      </c>
      <c r="N58" s="34"/>
      <c r="O58" s="56">
        <f t="shared" si="2"/>
        <v>1813640</v>
      </c>
      <c r="P58" s="18"/>
      <c r="Q58" s="31">
        <f t="shared" si="1"/>
        <v>13270.000000000004</v>
      </c>
      <c r="R58" s="32"/>
      <c r="S58" s="32">
        <v>32060.000000000004</v>
      </c>
    </row>
    <row r="59" spans="1:23" ht="17.25" customHeight="1" x14ac:dyDescent="0.25">
      <c r="A59" s="22" t="s">
        <v>76</v>
      </c>
      <c r="B59" s="23">
        <v>1278200</v>
      </c>
      <c r="C59" s="24"/>
      <c r="D59" s="25"/>
      <c r="E59" s="26"/>
      <c r="F59" s="25"/>
      <c r="G59" s="27"/>
      <c r="H59" s="25"/>
      <c r="I59" s="25"/>
      <c r="J59" s="25"/>
      <c r="K59" s="28">
        <v>0</v>
      </c>
      <c r="L59" s="25"/>
      <c r="M59" s="28">
        <v>90480</v>
      </c>
      <c r="N59" s="34"/>
      <c r="O59" s="56">
        <f t="shared" si="2"/>
        <v>1368680</v>
      </c>
      <c r="P59" s="18"/>
      <c r="Q59" s="31">
        <f t="shared" si="1"/>
        <v>70100</v>
      </c>
      <c r="R59" s="32"/>
      <c r="S59" s="32">
        <v>160580</v>
      </c>
      <c r="W59" s="35"/>
    </row>
    <row r="60" spans="1:23" ht="28.5" customHeight="1" x14ac:dyDescent="0.25">
      <c r="A60" s="22" t="s">
        <v>77</v>
      </c>
      <c r="B60" s="23">
        <v>1780260</v>
      </c>
      <c r="C60" s="24"/>
      <c r="D60" s="25">
        <v>197770</v>
      </c>
      <c r="E60" s="26"/>
      <c r="F60" s="25"/>
      <c r="G60" s="27"/>
      <c r="H60" s="25"/>
      <c r="I60" s="25"/>
      <c r="J60" s="25"/>
      <c r="K60" s="28">
        <v>0</v>
      </c>
      <c r="L60" s="25"/>
      <c r="M60" s="28">
        <v>80320</v>
      </c>
      <c r="N60" s="34"/>
      <c r="O60" s="56">
        <f t="shared" si="2"/>
        <v>2058350</v>
      </c>
      <c r="P60" s="18"/>
      <c r="Q60" s="31">
        <f t="shared" si="1"/>
        <v>62220</v>
      </c>
      <c r="R60" s="32"/>
      <c r="S60" s="32">
        <v>142540</v>
      </c>
      <c r="W60" s="35"/>
    </row>
    <row r="61" spans="1:23" ht="12.75" customHeight="1" x14ac:dyDescent="0.25">
      <c r="A61" s="22" t="s">
        <v>78</v>
      </c>
      <c r="B61" s="23">
        <v>148300</v>
      </c>
      <c r="C61" s="34"/>
      <c r="D61" s="25"/>
      <c r="E61" s="26"/>
      <c r="F61" s="25"/>
      <c r="G61" s="27"/>
      <c r="H61" s="25"/>
      <c r="I61" s="25"/>
      <c r="J61" s="25"/>
      <c r="K61" s="28">
        <v>0</v>
      </c>
      <c r="L61" s="25"/>
      <c r="M61" s="28"/>
      <c r="N61" s="34"/>
      <c r="O61" s="56">
        <f t="shared" si="2"/>
        <v>148300</v>
      </c>
      <c r="P61" s="18"/>
      <c r="Q61" s="31">
        <f t="shared" si="1"/>
        <v>0</v>
      </c>
      <c r="R61" s="32"/>
      <c r="S61" s="32"/>
      <c r="W61" s="35"/>
    </row>
    <row r="62" spans="1:23" ht="12.75" customHeight="1" x14ac:dyDescent="0.25">
      <c r="A62" s="22" t="s">
        <v>79</v>
      </c>
      <c r="B62" s="23">
        <v>185810</v>
      </c>
      <c r="C62" s="24">
        <v>29050</v>
      </c>
      <c r="D62" s="25"/>
      <c r="E62" s="26"/>
      <c r="F62" s="25"/>
      <c r="G62" s="27"/>
      <c r="H62" s="25"/>
      <c r="I62" s="25"/>
      <c r="J62" s="25"/>
      <c r="K62" s="28">
        <v>0</v>
      </c>
      <c r="L62" s="25"/>
      <c r="M62" s="28">
        <v>4080</v>
      </c>
      <c r="N62" s="34"/>
      <c r="O62" s="56">
        <f t="shared" si="2"/>
        <v>218940</v>
      </c>
      <c r="P62" s="18"/>
      <c r="Q62" s="31">
        <f t="shared" si="1"/>
        <v>2880</v>
      </c>
      <c r="R62" s="32"/>
      <c r="S62" s="32">
        <v>6960</v>
      </c>
      <c r="W62" s="35"/>
    </row>
    <row r="63" spans="1:23" ht="12.75" customHeight="1" x14ac:dyDescent="0.25">
      <c r="A63" s="22" t="s">
        <v>80</v>
      </c>
      <c r="B63" s="23"/>
      <c r="C63" s="34"/>
      <c r="D63" s="25"/>
      <c r="E63" s="26"/>
      <c r="F63" s="25"/>
      <c r="G63" s="27"/>
      <c r="H63" s="25"/>
      <c r="I63" s="25"/>
      <c r="J63" s="25"/>
      <c r="K63" s="28">
        <v>0</v>
      </c>
      <c r="L63" s="25"/>
      <c r="M63" s="28">
        <v>0</v>
      </c>
      <c r="N63" s="34"/>
      <c r="O63" s="56">
        <f t="shared" si="2"/>
        <v>0</v>
      </c>
      <c r="P63" s="18"/>
      <c r="Q63" s="31">
        <f t="shared" si="1"/>
        <v>0</v>
      </c>
      <c r="R63" s="32"/>
      <c r="S63" s="32">
        <v>0</v>
      </c>
    </row>
    <row r="64" spans="1:23" ht="30.75" customHeight="1" x14ac:dyDescent="0.25">
      <c r="A64" s="22" t="s">
        <v>81</v>
      </c>
      <c r="B64" s="23">
        <v>1290930</v>
      </c>
      <c r="C64" s="24"/>
      <c r="D64" s="25"/>
      <c r="E64" s="26"/>
      <c r="F64" s="25"/>
      <c r="G64" s="27">
        <v>1350</v>
      </c>
      <c r="H64" s="25">
        <v>9980</v>
      </c>
      <c r="I64" s="25"/>
      <c r="J64" s="25"/>
      <c r="K64" s="28">
        <v>1667</v>
      </c>
      <c r="L64" s="25"/>
      <c r="M64" s="28">
        <v>82750</v>
      </c>
      <c r="N64" s="34"/>
      <c r="O64" s="56">
        <f t="shared" si="2"/>
        <v>1386677</v>
      </c>
      <c r="P64" s="18"/>
      <c r="Q64" s="31">
        <f t="shared" si="1"/>
        <v>71580</v>
      </c>
      <c r="R64" s="32"/>
      <c r="S64" s="32">
        <v>154330</v>
      </c>
    </row>
    <row r="65" spans="1:19" ht="12.75" customHeight="1" x14ac:dyDescent="0.25">
      <c r="A65" s="22" t="s">
        <v>82</v>
      </c>
      <c r="B65" s="23">
        <v>742180</v>
      </c>
      <c r="C65" s="24"/>
      <c r="D65" s="25"/>
      <c r="E65" s="26"/>
      <c r="F65" s="25">
        <v>444280</v>
      </c>
      <c r="G65" s="27">
        <v>178890</v>
      </c>
      <c r="H65" s="25"/>
      <c r="I65" s="25"/>
      <c r="J65" s="25"/>
      <c r="K65" s="28">
        <v>1394</v>
      </c>
      <c r="L65" s="25"/>
      <c r="M65" s="28">
        <v>101980</v>
      </c>
      <c r="N65" s="34"/>
      <c r="O65" s="56">
        <f t="shared" si="2"/>
        <v>1468724</v>
      </c>
      <c r="P65" s="18"/>
      <c r="Q65" s="31">
        <f t="shared" si="1"/>
        <v>79000</v>
      </c>
      <c r="R65" s="32"/>
      <c r="S65" s="32">
        <v>180980</v>
      </c>
    </row>
    <row r="66" spans="1:19" ht="20.25" customHeight="1" x14ac:dyDescent="0.25">
      <c r="A66" s="22" t="s">
        <v>83</v>
      </c>
      <c r="B66" s="23">
        <v>2380060</v>
      </c>
      <c r="C66" s="24">
        <v>277120</v>
      </c>
      <c r="D66" s="25"/>
      <c r="E66" s="26"/>
      <c r="F66" s="25">
        <v>347160</v>
      </c>
      <c r="G66" s="27">
        <v>83600</v>
      </c>
      <c r="H66" s="25"/>
      <c r="I66" s="25"/>
      <c r="J66" s="25"/>
      <c r="K66" s="28">
        <v>0</v>
      </c>
      <c r="L66" s="25"/>
      <c r="M66" s="28">
        <v>59380</v>
      </c>
      <c r="N66" s="34"/>
      <c r="O66" s="56">
        <f t="shared" si="2"/>
        <v>3147320</v>
      </c>
      <c r="P66" s="18"/>
      <c r="Q66" s="31">
        <f t="shared" si="1"/>
        <v>51370</v>
      </c>
      <c r="R66" s="32"/>
      <c r="S66" s="32">
        <v>110750</v>
      </c>
    </row>
    <row r="67" spans="1:19" ht="15" customHeight="1" x14ac:dyDescent="0.25">
      <c r="A67" s="22" t="s">
        <v>84</v>
      </c>
      <c r="B67" s="23">
        <v>662430</v>
      </c>
      <c r="C67" s="24"/>
      <c r="D67" s="25"/>
      <c r="E67" s="26">
        <v>442950</v>
      </c>
      <c r="F67" s="25">
        <v>412170</v>
      </c>
      <c r="G67" s="27">
        <v>63360</v>
      </c>
      <c r="H67" s="25">
        <v>18400</v>
      </c>
      <c r="I67" s="25"/>
      <c r="J67" s="25"/>
      <c r="K67" s="28">
        <v>2123</v>
      </c>
      <c r="L67" s="25"/>
      <c r="M67" s="28">
        <v>121370</v>
      </c>
      <c r="N67" s="34"/>
      <c r="O67" s="56">
        <f t="shared" si="2"/>
        <v>1722803</v>
      </c>
      <c r="P67" s="18"/>
      <c r="Q67" s="31">
        <f t="shared" si="1"/>
        <v>93429.999999999971</v>
      </c>
      <c r="R67" s="32"/>
      <c r="S67" s="32">
        <f>(207.1+7.7)*1000</f>
        <v>214799.99999999997</v>
      </c>
    </row>
    <row r="68" spans="1:19" ht="15" customHeight="1" x14ac:dyDescent="0.25">
      <c r="A68" s="22" t="s">
        <v>85</v>
      </c>
      <c r="B68" s="23">
        <v>2015360</v>
      </c>
      <c r="C68" s="24"/>
      <c r="D68" s="25"/>
      <c r="E68" s="26"/>
      <c r="F68" s="25">
        <v>299910</v>
      </c>
      <c r="G68" s="27"/>
      <c r="H68" s="25">
        <v>68770</v>
      </c>
      <c r="I68" s="25"/>
      <c r="J68" s="25"/>
      <c r="K68" s="28">
        <v>149</v>
      </c>
      <c r="L68" s="25"/>
      <c r="M68" s="28">
        <v>219970</v>
      </c>
      <c r="N68" s="34"/>
      <c r="O68" s="56">
        <f t="shared" si="2"/>
        <v>2604159</v>
      </c>
      <c r="P68" s="18"/>
      <c r="Q68" s="31">
        <f t="shared" si="1"/>
        <v>221770</v>
      </c>
      <c r="R68" s="32"/>
      <c r="S68" s="32">
        <f>(390.38+51.36)*1000</f>
        <v>441740</v>
      </c>
    </row>
    <row r="69" spans="1:19" ht="15" customHeight="1" x14ac:dyDescent="0.25">
      <c r="A69" s="22" t="s">
        <v>86</v>
      </c>
      <c r="B69" s="23">
        <v>1381600</v>
      </c>
      <c r="C69" s="24">
        <v>4570</v>
      </c>
      <c r="D69" s="25">
        <v>267630</v>
      </c>
      <c r="E69" s="26"/>
      <c r="F69" s="25"/>
      <c r="G69" s="27"/>
      <c r="H69" s="25">
        <v>26990</v>
      </c>
      <c r="I69" s="25"/>
      <c r="J69" s="25"/>
      <c r="K69" s="28">
        <v>0</v>
      </c>
      <c r="L69" s="25"/>
      <c r="M69" s="28">
        <v>0</v>
      </c>
      <c r="N69" s="34"/>
      <c r="O69" s="56">
        <f t="shared" si="2"/>
        <v>1680790</v>
      </c>
      <c r="P69" s="18"/>
      <c r="Q69" s="31">
        <f>(S69-M69)</f>
        <v>0</v>
      </c>
      <c r="R69" s="32"/>
      <c r="S69" s="32">
        <v>0</v>
      </c>
    </row>
    <row r="70" spans="1:19" ht="34.5" customHeight="1" x14ac:dyDescent="0.2">
      <c r="A70" s="37" t="s">
        <v>87</v>
      </c>
      <c r="B70" s="38">
        <f>SUM(B4:B69)</f>
        <v>103982110</v>
      </c>
      <c r="C70" s="38">
        <f t="shared" ref="C70:K70" si="3">SUM(C4:C69)</f>
        <v>4245330</v>
      </c>
      <c r="D70" s="38">
        <f>SUM(D4:D69)</f>
        <v>1669740</v>
      </c>
      <c r="E70" s="39">
        <f>SUM(E5:E69)</f>
        <v>15208020</v>
      </c>
      <c r="F70" s="40">
        <f t="shared" si="3"/>
        <v>19062800</v>
      </c>
      <c r="G70" s="40">
        <f t="shared" si="3"/>
        <v>2243820</v>
      </c>
      <c r="H70" s="40">
        <f t="shared" si="3"/>
        <v>1569640</v>
      </c>
      <c r="I70" s="40">
        <f t="shared" si="3"/>
        <v>98530</v>
      </c>
      <c r="J70" s="40">
        <f t="shared" si="3"/>
        <v>1051870</v>
      </c>
      <c r="K70" s="40">
        <f t="shared" si="3"/>
        <v>53008</v>
      </c>
      <c r="L70" s="41"/>
      <c r="M70" s="66">
        <f>SUM(M4:M69)</f>
        <v>6585780</v>
      </c>
      <c r="N70" s="43"/>
      <c r="O70" s="42">
        <f>SUM(O4:O69)</f>
        <v>155770648</v>
      </c>
      <c r="P70" s="44"/>
      <c r="Q70" s="45">
        <f>SUM(Q4:Q69)</f>
        <v>7891250</v>
      </c>
      <c r="R70" s="46">
        <f>SUM(R4:R69)</f>
        <v>0</v>
      </c>
      <c r="S70" s="67">
        <f>SUM(S4:S69)</f>
        <v>14477030</v>
      </c>
    </row>
    <row r="71" spans="1:19" ht="21" customHeight="1" x14ac:dyDescent="0.2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50"/>
      <c r="O71" s="49"/>
      <c r="P71" s="18"/>
      <c r="Q71" s="49"/>
    </row>
    <row r="72" spans="1:19" ht="27.75" customHeight="1" x14ac:dyDescent="0.2">
      <c r="A72" s="99" t="s">
        <v>88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</row>
    <row r="74" spans="1:19" x14ac:dyDescent="0.2">
      <c r="B74" s="35"/>
      <c r="M74" s="52">
        <f>M70+Q70</f>
        <v>14477030</v>
      </c>
    </row>
  </sheetData>
  <mergeCells count="3">
    <mergeCell ref="A1:M1"/>
    <mergeCell ref="B2:K2"/>
    <mergeCell ref="A72:Q7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4CA8-D062-435F-912E-0704863F977C}">
  <sheetPr codeName="Sheet12"/>
  <dimension ref="A1:W74"/>
  <sheetViews>
    <sheetView workbookViewId="0">
      <pane xSplit="1" ySplit="3" topLeftCell="G4" activePane="bottomRight" state="frozen"/>
      <selection activeCell="R70" sqref="R70"/>
      <selection pane="topRight" activeCell="R70" sqref="R70"/>
      <selection pane="bottomLeft" activeCell="R70" sqref="R70"/>
      <selection pane="bottomRight" activeCell="R70" sqref="R70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5" width="11.42578125" style="1" customWidth="1"/>
    <col min="6" max="6" width="13.140625" style="1" customWidth="1"/>
    <col min="7" max="7" width="11.140625" style="51" customWidth="1"/>
    <col min="8" max="8" width="10.7109375" style="1" customWidth="1"/>
    <col min="9" max="9" width="9" style="1" customWidth="1"/>
    <col min="10" max="10" width="9.140625" style="1" customWidth="1"/>
    <col min="11" max="11" width="10" style="1" customWidth="1"/>
    <col min="12" max="12" width="1.7109375" style="1" customWidth="1"/>
    <col min="13" max="13" width="12.42578125" style="53" customWidth="1"/>
    <col min="14" max="14" width="2" style="1" customWidth="1"/>
    <col min="15" max="15" width="13.85546875" style="1" customWidth="1"/>
    <col min="16" max="16" width="3.85546875" style="1" customWidth="1"/>
    <col min="17" max="17" width="12.42578125" style="53" customWidth="1"/>
    <col min="18" max="18" width="12.5703125" style="1" customWidth="1"/>
    <col min="19" max="19" width="12.7109375" style="1" bestFit="1" customWidth="1"/>
    <col min="20" max="22" width="6.85546875" style="1"/>
    <col min="23" max="23" width="10.140625" style="1" bestFit="1" customWidth="1"/>
    <col min="24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1" width="11.42578125" style="1" customWidth="1"/>
    <col min="262" max="262" width="13.140625" style="1" customWidth="1"/>
    <col min="263" max="263" width="11.140625" style="1" customWidth="1"/>
    <col min="264" max="264" width="10.7109375" style="1" customWidth="1"/>
    <col min="265" max="265" width="9" style="1" customWidth="1"/>
    <col min="266" max="266" width="9.140625" style="1" customWidth="1"/>
    <col min="267" max="267" width="10" style="1" customWidth="1"/>
    <col min="268" max="268" width="1.7109375" style="1" customWidth="1"/>
    <col min="269" max="269" width="12.42578125" style="1" customWidth="1"/>
    <col min="270" max="270" width="2" style="1" customWidth="1"/>
    <col min="271" max="271" width="13.85546875" style="1" customWidth="1"/>
    <col min="272" max="272" width="3.85546875" style="1" customWidth="1"/>
    <col min="273" max="273" width="12.42578125" style="1" customWidth="1"/>
    <col min="274" max="274" width="12.5703125" style="1" customWidth="1"/>
    <col min="275" max="275" width="12.7109375" style="1" bestFit="1" customWidth="1"/>
    <col min="276" max="278" width="6.85546875" style="1"/>
    <col min="279" max="279" width="10.140625" style="1" bestFit="1" customWidth="1"/>
    <col min="280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7" width="11.42578125" style="1" customWidth="1"/>
    <col min="518" max="518" width="13.140625" style="1" customWidth="1"/>
    <col min="519" max="519" width="11.140625" style="1" customWidth="1"/>
    <col min="520" max="520" width="10.7109375" style="1" customWidth="1"/>
    <col min="521" max="521" width="9" style="1" customWidth="1"/>
    <col min="522" max="522" width="9.140625" style="1" customWidth="1"/>
    <col min="523" max="523" width="10" style="1" customWidth="1"/>
    <col min="524" max="524" width="1.7109375" style="1" customWidth="1"/>
    <col min="525" max="525" width="12.42578125" style="1" customWidth="1"/>
    <col min="526" max="526" width="2" style="1" customWidth="1"/>
    <col min="527" max="527" width="13.85546875" style="1" customWidth="1"/>
    <col min="528" max="528" width="3.85546875" style="1" customWidth="1"/>
    <col min="529" max="529" width="12.42578125" style="1" customWidth="1"/>
    <col min="530" max="530" width="12.5703125" style="1" customWidth="1"/>
    <col min="531" max="531" width="12.7109375" style="1" bestFit="1" customWidth="1"/>
    <col min="532" max="534" width="6.85546875" style="1"/>
    <col min="535" max="535" width="10.140625" style="1" bestFit="1" customWidth="1"/>
    <col min="536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3" width="11.42578125" style="1" customWidth="1"/>
    <col min="774" max="774" width="13.140625" style="1" customWidth="1"/>
    <col min="775" max="775" width="11.140625" style="1" customWidth="1"/>
    <col min="776" max="776" width="10.7109375" style="1" customWidth="1"/>
    <col min="777" max="777" width="9" style="1" customWidth="1"/>
    <col min="778" max="778" width="9.140625" style="1" customWidth="1"/>
    <col min="779" max="779" width="10" style="1" customWidth="1"/>
    <col min="780" max="780" width="1.7109375" style="1" customWidth="1"/>
    <col min="781" max="781" width="12.42578125" style="1" customWidth="1"/>
    <col min="782" max="782" width="2" style="1" customWidth="1"/>
    <col min="783" max="783" width="13.85546875" style="1" customWidth="1"/>
    <col min="784" max="784" width="3.85546875" style="1" customWidth="1"/>
    <col min="785" max="785" width="12.42578125" style="1" customWidth="1"/>
    <col min="786" max="786" width="12.5703125" style="1" customWidth="1"/>
    <col min="787" max="787" width="12.7109375" style="1" bestFit="1" customWidth="1"/>
    <col min="788" max="790" width="6.85546875" style="1"/>
    <col min="791" max="791" width="10.140625" style="1" bestFit="1" customWidth="1"/>
    <col min="792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29" width="11.42578125" style="1" customWidth="1"/>
    <col min="1030" max="1030" width="13.140625" style="1" customWidth="1"/>
    <col min="1031" max="1031" width="11.140625" style="1" customWidth="1"/>
    <col min="1032" max="1032" width="10.7109375" style="1" customWidth="1"/>
    <col min="1033" max="1033" width="9" style="1" customWidth="1"/>
    <col min="1034" max="1034" width="9.140625" style="1" customWidth="1"/>
    <col min="1035" max="1035" width="10" style="1" customWidth="1"/>
    <col min="1036" max="1036" width="1.7109375" style="1" customWidth="1"/>
    <col min="1037" max="1037" width="12.42578125" style="1" customWidth="1"/>
    <col min="1038" max="1038" width="2" style="1" customWidth="1"/>
    <col min="1039" max="1039" width="13.85546875" style="1" customWidth="1"/>
    <col min="1040" max="1040" width="3.85546875" style="1" customWidth="1"/>
    <col min="1041" max="1041" width="12.42578125" style="1" customWidth="1"/>
    <col min="1042" max="1042" width="12.5703125" style="1" customWidth="1"/>
    <col min="1043" max="1043" width="12.7109375" style="1" bestFit="1" customWidth="1"/>
    <col min="1044" max="1046" width="6.85546875" style="1"/>
    <col min="1047" max="1047" width="10.140625" style="1" bestFit="1" customWidth="1"/>
    <col min="1048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5" width="11.42578125" style="1" customWidth="1"/>
    <col min="1286" max="1286" width="13.140625" style="1" customWidth="1"/>
    <col min="1287" max="1287" width="11.140625" style="1" customWidth="1"/>
    <col min="1288" max="1288" width="10.7109375" style="1" customWidth="1"/>
    <col min="1289" max="1289" width="9" style="1" customWidth="1"/>
    <col min="1290" max="1290" width="9.140625" style="1" customWidth="1"/>
    <col min="1291" max="1291" width="10" style="1" customWidth="1"/>
    <col min="1292" max="1292" width="1.7109375" style="1" customWidth="1"/>
    <col min="1293" max="1293" width="12.42578125" style="1" customWidth="1"/>
    <col min="1294" max="1294" width="2" style="1" customWidth="1"/>
    <col min="1295" max="1295" width="13.85546875" style="1" customWidth="1"/>
    <col min="1296" max="1296" width="3.85546875" style="1" customWidth="1"/>
    <col min="1297" max="1297" width="12.42578125" style="1" customWidth="1"/>
    <col min="1298" max="1298" width="12.5703125" style="1" customWidth="1"/>
    <col min="1299" max="1299" width="12.7109375" style="1" bestFit="1" customWidth="1"/>
    <col min="1300" max="1302" width="6.85546875" style="1"/>
    <col min="1303" max="1303" width="10.140625" style="1" bestFit="1" customWidth="1"/>
    <col min="1304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1" width="11.42578125" style="1" customWidth="1"/>
    <col min="1542" max="1542" width="13.140625" style="1" customWidth="1"/>
    <col min="1543" max="1543" width="11.140625" style="1" customWidth="1"/>
    <col min="1544" max="1544" width="10.7109375" style="1" customWidth="1"/>
    <col min="1545" max="1545" width="9" style="1" customWidth="1"/>
    <col min="1546" max="1546" width="9.140625" style="1" customWidth="1"/>
    <col min="1547" max="1547" width="10" style="1" customWidth="1"/>
    <col min="1548" max="1548" width="1.7109375" style="1" customWidth="1"/>
    <col min="1549" max="1549" width="12.42578125" style="1" customWidth="1"/>
    <col min="1550" max="1550" width="2" style="1" customWidth="1"/>
    <col min="1551" max="1551" width="13.85546875" style="1" customWidth="1"/>
    <col min="1552" max="1552" width="3.85546875" style="1" customWidth="1"/>
    <col min="1553" max="1553" width="12.42578125" style="1" customWidth="1"/>
    <col min="1554" max="1554" width="12.5703125" style="1" customWidth="1"/>
    <col min="1555" max="1555" width="12.7109375" style="1" bestFit="1" customWidth="1"/>
    <col min="1556" max="1558" width="6.85546875" style="1"/>
    <col min="1559" max="1559" width="10.140625" style="1" bestFit="1" customWidth="1"/>
    <col min="1560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7" width="11.42578125" style="1" customWidth="1"/>
    <col min="1798" max="1798" width="13.140625" style="1" customWidth="1"/>
    <col min="1799" max="1799" width="11.140625" style="1" customWidth="1"/>
    <col min="1800" max="1800" width="10.7109375" style="1" customWidth="1"/>
    <col min="1801" max="1801" width="9" style="1" customWidth="1"/>
    <col min="1802" max="1802" width="9.140625" style="1" customWidth="1"/>
    <col min="1803" max="1803" width="10" style="1" customWidth="1"/>
    <col min="1804" max="1804" width="1.7109375" style="1" customWidth="1"/>
    <col min="1805" max="1805" width="12.42578125" style="1" customWidth="1"/>
    <col min="1806" max="1806" width="2" style="1" customWidth="1"/>
    <col min="1807" max="1807" width="13.85546875" style="1" customWidth="1"/>
    <col min="1808" max="1808" width="3.85546875" style="1" customWidth="1"/>
    <col min="1809" max="1809" width="12.42578125" style="1" customWidth="1"/>
    <col min="1810" max="1810" width="12.5703125" style="1" customWidth="1"/>
    <col min="1811" max="1811" width="12.7109375" style="1" bestFit="1" customWidth="1"/>
    <col min="1812" max="1814" width="6.85546875" style="1"/>
    <col min="1815" max="1815" width="10.140625" style="1" bestFit="1" customWidth="1"/>
    <col min="1816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3" width="11.42578125" style="1" customWidth="1"/>
    <col min="2054" max="2054" width="13.140625" style="1" customWidth="1"/>
    <col min="2055" max="2055" width="11.140625" style="1" customWidth="1"/>
    <col min="2056" max="2056" width="10.7109375" style="1" customWidth="1"/>
    <col min="2057" max="2057" width="9" style="1" customWidth="1"/>
    <col min="2058" max="2058" width="9.140625" style="1" customWidth="1"/>
    <col min="2059" max="2059" width="10" style="1" customWidth="1"/>
    <col min="2060" max="2060" width="1.7109375" style="1" customWidth="1"/>
    <col min="2061" max="2061" width="12.42578125" style="1" customWidth="1"/>
    <col min="2062" max="2062" width="2" style="1" customWidth="1"/>
    <col min="2063" max="2063" width="13.85546875" style="1" customWidth="1"/>
    <col min="2064" max="2064" width="3.85546875" style="1" customWidth="1"/>
    <col min="2065" max="2065" width="12.42578125" style="1" customWidth="1"/>
    <col min="2066" max="2066" width="12.5703125" style="1" customWidth="1"/>
    <col min="2067" max="2067" width="12.7109375" style="1" bestFit="1" customWidth="1"/>
    <col min="2068" max="2070" width="6.85546875" style="1"/>
    <col min="2071" max="2071" width="10.140625" style="1" bestFit="1" customWidth="1"/>
    <col min="2072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09" width="11.42578125" style="1" customWidth="1"/>
    <col min="2310" max="2310" width="13.140625" style="1" customWidth="1"/>
    <col min="2311" max="2311" width="11.140625" style="1" customWidth="1"/>
    <col min="2312" max="2312" width="10.7109375" style="1" customWidth="1"/>
    <col min="2313" max="2313" width="9" style="1" customWidth="1"/>
    <col min="2314" max="2314" width="9.140625" style="1" customWidth="1"/>
    <col min="2315" max="2315" width="10" style="1" customWidth="1"/>
    <col min="2316" max="2316" width="1.7109375" style="1" customWidth="1"/>
    <col min="2317" max="2317" width="12.42578125" style="1" customWidth="1"/>
    <col min="2318" max="2318" width="2" style="1" customWidth="1"/>
    <col min="2319" max="2319" width="13.85546875" style="1" customWidth="1"/>
    <col min="2320" max="2320" width="3.85546875" style="1" customWidth="1"/>
    <col min="2321" max="2321" width="12.42578125" style="1" customWidth="1"/>
    <col min="2322" max="2322" width="12.5703125" style="1" customWidth="1"/>
    <col min="2323" max="2323" width="12.7109375" style="1" bestFit="1" customWidth="1"/>
    <col min="2324" max="2326" width="6.85546875" style="1"/>
    <col min="2327" max="2327" width="10.140625" style="1" bestFit="1" customWidth="1"/>
    <col min="2328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5" width="11.42578125" style="1" customWidth="1"/>
    <col min="2566" max="2566" width="13.140625" style="1" customWidth="1"/>
    <col min="2567" max="2567" width="11.140625" style="1" customWidth="1"/>
    <col min="2568" max="2568" width="10.7109375" style="1" customWidth="1"/>
    <col min="2569" max="2569" width="9" style="1" customWidth="1"/>
    <col min="2570" max="2570" width="9.140625" style="1" customWidth="1"/>
    <col min="2571" max="2571" width="10" style="1" customWidth="1"/>
    <col min="2572" max="2572" width="1.7109375" style="1" customWidth="1"/>
    <col min="2573" max="2573" width="12.42578125" style="1" customWidth="1"/>
    <col min="2574" max="2574" width="2" style="1" customWidth="1"/>
    <col min="2575" max="2575" width="13.85546875" style="1" customWidth="1"/>
    <col min="2576" max="2576" width="3.85546875" style="1" customWidth="1"/>
    <col min="2577" max="2577" width="12.42578125" style="1" customWidth="1"/>
    <col min="2578" max="2578" width="12.5703125" style="1" customWidth="1"/>
    <col min="2579" max="2579" width="12.7109375" style="1" bestFit="1" customWidth="1"/>
    <col min="2580" max="2582" width="6.85546875" style="1"/>
    <col min="2583" max="2583" width="10.140625" style="1" bestFit="1" customWidth="1"/>
    <col min="2584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1" width="11.42578125" style="1" customWidth="1"/>
    <col min="2822" max="2822" width="13.140625" style="1" customWidth="1"/>
    <col min="2823" max="2823" width="11.140625" style="1" customWidth="1"/>
    <col min="2824" max="2824" width="10.7109375" style="1" customWidth="1"/>
    <col min="2825" max="2825" width="9" style="1" customWidth="1"/>
    <col min="2826" max="2826" width="9.140625" style="1" customWidth="1"/>
    <col min="2827" max="2827" width="10" style="1" customWidth="1"/>
    <col min="2828" max="2828" width="1.7109375" style="1" customWidth="1"/>
    <col min="2829" max="2829" width="12.42578125" style="1" customWidth="1"/>
    <col min="2830" max="2830" width="2" style="1" customWidth="1"/>
    <col min="2831" max="2831" width="13.85546875" style="1" customWidth="1"/>
    <col min="2832" max="2832" width="3.85546875" style="1" customWidth="1"/>
    <col min="2833" max="2833" width="12.42578125" style="1" customWidth="1"/>
    <col min="2834" max="2834" width="12.5703125" style="1" customWidth="1"/>
    <col min="2835" max="2835" width="12.7109375" style="1" bestFit="1" customWidth="1"/>
    <col min="2836" max="2838" width="6.85546875" style="1"/>
    <col min="2839" max="2839" width="10.140625" style="1" bestFit="1" customWidth="1"/>
    <col min="2840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7" width="11.42578125" style="1" customWidth="1"/>
    <col min="3078" max="3078" width="13.140625" style="1" customWidth="1"/>
    <col min="3079" max="3079" width="11.140625" style="1" customWidth="1"/>
    <col min="3080" max="3080" width="10.7109375" style="1" customWidth="1"/>
    <col min="3081" max="3081" width="9" style="1" customWidth="1"/>
    <col min="3082" max="3082" width="9.140625" style="1" customWidth="1"/>
    <col min="3083" max="3083" width="10" style="1" customWidth="1"/>
    <col min="3084" max="3084" width="1.7109375" style="1" customWidth="1"/>
    <col min="3085" max="3085" width="12.42578125" style="1" customWidth="1"/>
    <col min="3086" max="3086" width="2" style="1" customWidth="1"/>
    <col min="3087" max="3087" width="13.85546875" style="1" customWidth="1"/>
    <col min="3088" max="3088" width="3.85546875" style="1" customWidth="1"/>
    <col min="3089" max="3089" width="12.42578125" style="1" customWidth="1"/>
    <col min="3090" max="3090" width="12.5703125" style="1" customWidth="1"/>
    <col min="3091" max="3091" width="12.7109375" style="1" bestFit="1" customWidth="1"/>
    <col min="3092" max="3094" width="6.85546875" style="1"/>
    <col min="3095" max="3095" width="10.140625" style="1" bestFit="1" customWidth="1"/>
    <col min="3096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3" width="11.42578125" style="1" customWidth="1"/>
    <col min="3334" max="3334" width="13.140625" style="1" customWidth="1"/>
    <col min="3335" max="3335" width="11.140625" style="1" customWidth="1"/>
    <col min="3336" max="3336" width="10.7109375" style="1" customWidth="1"/>
    <col min="3337" max="3337" width="9" style="1" customWidth="1"/>
    <col min="3338" max="3338" width="9.140625" style="1" customWidth="1"/>
    <col min="3339" max="3339" width="10" style="1" customWidth="1"/>
    <col min="3340" max="3340" width="1.7109375" style="1" customWidth="1"/>
    <col min="3341" max="3341" width="12.42578125" style="1" customWidth="1"/>
    <col min="3342" max="3342" width="2" style="1" customWidth="1"/>
    <col min="3343" max="3343" width="13.85546875" style="1" customWidth="1"/>
    <col min="3344" max="3344" width="3.85546875" style="1" customWidth="1"/>
    <col min="3345" max="3345" width="12.42578125" style="1" customWidth="1"/>
    <col min="3346" max="3346" width="12.5703125" style="1" customWidth="1"/>
    <col min="3347" max="3347" width="12.7109375" style="1" bestFit="1" customWidth="1"/>
    <col min="3348" max="3350" width="6.85546875" style="1"/>
    <col min="3351" max="3351" width="10.140625" style="1" bestFit="1" customWidth="1"/>
    <col min="3352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89" width="11.42578125" style="1" customWidth="1"/>
    <col min="3590" max="3590" width="13.140625" style="1" customWidth="1"/>
    <col min="3591" max="3591" width="11.140625" style="1" customWidth="1"/>
    <col min="3592" max="3592" width="10.7109375" style="1" customWidth="1"/>
    <col min="3593" max="3593" width="9" style="1" customWidth="1"/>
    <col min="3594" max="3594" width="9.140625" style="1" customWidth="1"/>
    <col min="3595" max="3595" width="10" style="1" customWidth="1"/>
    <col min="3596" max="3596" width="1.7109375" style="1" customWidth="1"/>
    <col min="3597" max="3597" width="12.42578125" style="1" customWidth="1"/>
    <col min="3598" max="3598" width="2" style="1" customWidth="1"/>
    <col min="3599" max="3599" width="13.85546875" style="1" customWidth="1"/>
    <col min="3600" max="3600" width="3.85546875" style="1" customWidth="1"/>
    <col min="3601" max="3601" width="12.42578125" style="1" customWidth="1"/>
    <col min="3602" max="3602" width="12.5703125" style="1" customWidth="1"/>
    <col min="3603" max="3603" width="12.7109375" style="1" bestFit="1" customWidth="1"/>
    <col min="3604" max="3606" width="6.85546875" style="1"/>
    <col min="3607" max="3607" width="10.140625" style="1" bestFit="1" customWidth="1"/>
    <col min="3608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5" width="11.42578125" style="1" customWidth="1"/>
    <col min="3846" max="3846" width="13.140625" style="1" customWidth="1"/>
    <col min="3847" max="3847" width="11.140625" style="1" customWidth="1"/>
    <col min="3848" max="3848" width="10.7109375" style="1" customWidth="1"/>
    <col min="3849" max="3849" width="9" style="1" customWidth="1"/>
    <col min="3850" max="3850" width="9.140625" style="1" customWidth="1"/>
    <col min="3851" max="3851" width="10" style="1" customWidth="1"/>
    <col min="3852" max="3852" width="1.7109375" style="1" customWidth="1"/>
    <col min="3853" max="3853" width="12.42578125" style="1" customWidth="1"/>
    <col min="3854" max="3854" width="2" style="1" customWidth="1"/>
    <col min="3855" max="3855" width="13.85546875" style="1" customWidth="1"/>
    <col min="3856" max="3856" width="3.85546875" style="1" customWidth="1"/>
    <col min="3857" max="3857" width="12.42578125" style="1" customWidth="1"/>
    <col min="3858" max="3858" width="12.5703125" style="1" customWidth="1"/>
    <col min="3859" max="3859" width="12.7109375" style="1" bestFit="1" customWidth="1"/>
    <col min="3860" max="3862" width="6.85546875" style="1"/>
    <col min="3863" max="3863" width="10.140625" style="1" bestFit="1" customWidth="1"/>
    <col min="3864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1" width="11.42578125" style="1" customWidth="1"/>
    <col min="4102" max="4102" width="13.140625" style="1" customWidth="1"/>
    <col min="4103" max="4103" width="11.140625" style="1" customWidth="1"/>
    <col min="4104" max="4104" width="10.7109375" style="1" customWidth="1"/>
    <col min="4105" max="4105" width="9" style="1" customWidth="1"/>
    <col min="4106" max="4106" width="9.140625" style="1" customWidth="1"/>
    <col min="4107" max="4107" width="10" style="1" customWidth="1"/>
    <col min="4108" max="4108" width="1.7109375" style="1" customWidth="1"/>
    <col min="4109" max="4109" width="12.42578125" style="1" customWidth="1"/>
    <col min="4110" max="4110" width="2" style="1" customWidth="1"/>
    <col min="4111" max="4111" width="13.85546875" style="1" customWidth="1"/>
    <col min="4112" max="4112" width="3.85546875" style="1" customWidth="1"/>
    <col min="4113" max="4113" width="12.42578125" style="1" customWidth="1"/>
    <col min="4114" max="4114" width="12.5703125" style="1" customWidth="1"/>
    <col min="4115" max="4115" width="12.7109375" style="1" bestFit="1" customWidth="1"/>
    <col min="4116" max="4118" width="6.85546875" style="1"/>
    <col min="4119" max="4119" width="10.140625" style="1" bestFit="1" customWidth="1"/>
    <col min="4120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7" width="11.42578125" style="1" customWidth="1"/>
    <col min="4358" max="4358" width="13.140625" style="1" customWidth="1"/>
    <col min="4359" max="4359" width="11.140625" style="1" customWidth="1"/>
    <col min="4360" max="4360" width="10.7109375" style="1" customWidth="1"/>
    <col min="4361" max="4361" width="9" style="1" customWidth="1"/>
    <col min="4362" max="4362" width="9.140625" style="1" customWidth="1"/>
    <col min="4363" max="4363" width="10" style="1" customWidth="1"/>
    <col min="4364" max="4364" width="1.7109375" style="1" customWidth="1"/>
    <col min="4365" max="4365" width="12.42578125" style="1" customWidth="1"/>
    <col min="4366" max="4366" width="2" style="1" customWidth="1"/>
    <col min="4367" max="4367" width="13.85546875" style="1" customWidth="1"/>
    <col min="4368" max="4368" width="3.85546875" style="1" customWidth="1"/>
    <col min="4369" max="4369" width="12.42578125" style="1" customWidth="1"/>
    <col min="4370" max="4370" width="12.5703125" style="1" customWidth="1"/>
    <col min="4371" max="4371" width="12.7109375" style="1" bestFit="1" customWidth="1"/>
    <col min="4372" max="4374" width="6.85546875" style="1"/>
    <col min="4375" max="4375" width="10.140625" style="1" bestFit="1" customWidth="1"/>
    <col min="4376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3" width="11.42578125" style="1" customWidth="1"/>
    <col min="4614" max="4614" width="13.140625" style="1" customWidth="1"/>
    <col min="4615" max="4615" width="11.140625" style="1" customWidth="1"/>
    <col min="4616" max="4616" width="10.7109375" style="1" customWidth="1"/>
    <col min="4617" max="4617" width="9" style="1" customWidth="1"/>
    <col min="4618" max="4618" width="9.140625" style="1" customWidth="1"/>
    <col min="4619" max="4619" width="10" style="1" customWidth="1"/>
    <col min="4620" max="4620" width="1.7109375" style="1" customWidth="1"/>
    <col min="4621" max="4621" width="12.42578125" style="1" customWidth="1"/>
    <col min="4622" max="4622" width="2" style="1" customWidth="1"/>
    <col min="4623" max="4623" width="13.85546875" style="1" customWidth="1"/>
    <col min="4624" max="4624" width="3.85546875" style="1" customWidth="1"/>
    <col min="4625" max="4625" width="12.42578125" style="1" customWidth="1"/>
    <col min="4626" max="4626" width="12.5703125" style="1" customWidth="1"/>
    <col min="4627" max="4627" width="12.7109375" style="1" bestFit="1" customWidth="1"/>
    <col min="4628" max="4630" width="6.85546875" style="1"/>
    <col min="4631" max="4631" width="10.140625" style="1" bestFit="1" customWidth="1"/>
    <col min="4632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69" width="11.42578125" style="1" customWidth="1"/>
    <col min="4870" max="4870" width="13.140625" style="1" customWidth="1"/>
    <col min="4871" max="4871" width="11.140625" style="1" customWidth="1"/>
    <col min="4872" max="4872" width="10.7109375" style="1" customWidth="1"/>
    <col min="4873" max="4873" width="9" style="1" customWidth="1"/>
    <col min="4874" max="4874" width="9.140625" style="1" customWidth="1"/>
    <col min="4875" max="4875" width="10" style="1" customWidth="1"/>
    <col min="4876" max="4876" width="1.7109375" style="1" customWidth="1"/>
    <col min="4877" max="4877" width="12.42578125" style="1" customWidth="1"/>
    <col min="4878" max="4878" width="2" style="1" customWidth="1"/>
    <col min="4879" max="4879" width="13.85546875" style="1" customWidth="1"/>
    <col min="4880" max="4880" width="3.85546875" style="1" customWidth="1"/>
    <col min="4881" max="4881" width="12.42578125" style="1" customWidth="1"/>
    <col min="4882" max="4882" width="12.5703125" style="1" customWidth="1"/>
    <col min="4883" max="4883" width="12.7109375" style="1" bestFit="1" customWidth="1"/>
    <col min="4884" max="4886" width="6.85546875" style="1"/>
    <col min="4887" max="4887" width="10.140625" style="1" bestFit="1" customWidth="1"/>
    <col min="4888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5" width="11.42578125" style="1" customWidth="1"/>
    <col min="5126" max="5126" width="13.140625" style="1" customWidth="1"/>
    <col min="5127" max="5127" width="11.140625" style="1" customWidth="1"/>
    <col min="5128" max="5128" width="10.7109375" style="1" customWidth="1"/>
    <col min="5129" max="5129" width="9" style="1" customWidth="1"/>
    <col min="5130" max="5130" width="9.140625" style="1" customWidth="1"/>
    <col min="5131" max="5131" width="10" style="1" customWidth="1"/>
    <col min="5132" max="5132" width="1.7109375" style="1" customWidth="1"/>
    <col min="5133" max="5133" width="12.42578125" style="1" customWidth="1"/>
    <col min="5134" max="5134" width="2" style="1" customWidth="1"/>
    <col min="5135" max="5135" width="13.85546875" style="1" customWidth="1"/>
    <col min="5136" max="5136" width="3.85546875" style="1" customWidth="1"/>
    <col min="5137" max="5137" width="12.42578125" style="1" customWidth="1"/>
    <col min="5138" max="5138" width="12.5703125" style="1" customWidth="1"/>
    <col min="5139" max="5139" width="12.7109375" style="1" bestFit="1" customWidth="1"/>
    <col min="5140" max="5142" width="6.85546875" style="1"/>
    <col min="5143" max="5143" width="10.140625" style="1" bestFit="1" customWidth="1"/>
    <col min="5144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1" width="11.42578125" style="1" customWidth="1"/>
    <col min="5382" max="5382" width="13.140625" style="1" customWidth="1"/>
    <col min="5383" max="5383" width="11.140625" style="1" customWidth="1"/>
    <col min="5384" max="5384" width="10.7109375" style="1" customWidth="1"/>
    <col min="5385" max="5385" width="9" style="1" customWidth="1"/>
    <col min="5386" max="5386" width="9.140625" style="1" customWidth="1"/>
    <col min="5387" max="5387" width="10" style="1" customWidth="1"/>
    <col min="5388" max="5388" width="1.7109375" style="1" customWidth="1"/>
    <col min="5389" max="5389" width="12.42578125" style="1" customWidth="1"/>
    <col min="5390" max="5390" width="2" style="1" customWidth="1"/>
    <col min="5391" max="5391" width="13.85546875" style="1" customWidth="1"/>
    <col min="5392" max="5392" width="3.85546875" style="1" customWidth="1"/>
    <col min="5393" max="5393" width="12.42578125" style="1" customWidth="1"/>
    <col min="5394" max="5394" width="12.5703125" style="1" customWidth="1"/>
    <col min="5395" max="5395" width="12.7109375" style="1" bestFit="1" customWidth="1"/>
    <col min="5396" max="5398" width="6.85546875" style="1"/>
    <col min="5399" max="5399" width="10.140625" style="1" bestFit="1" customWidth="1"/>
    <col min="5400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7" width="11.42578125" style="1" customWidth="1"/>
    <col min="5638" max="5638" width="13.140625" style="1" customWidth="1"/>
    <col min="5639" max="5639" width="11.140625" style="1" customWidth="1"/>
    <col min="5640" max="5640" width="10.7109375" style="1" customWidth="1"/>
    <col min="5641" max="5641" width="9" style="1" customWidth="1"/>
    <col min="5642" max="5642" width="9.140625" style="1" customWidth="1"/>
    <col min="5643" max="5643" width="10" style="1" customWidth="1"/>
    <col min="5644" max="5644" width="1.7109375" style="1" customWidth="1"/>
    <col min="5645" max="5645" width="12.42578125" style="1" customWidth="1"/>
    <col min="5646" max="5646" width="2" style="1" customWidth="1"/>
    <col min="5647" max="5647" width="13.85546875" style="1" customWidth="1"/>
    <col min="5648" max="5648" width="3.85546875" style="1" customWidth="1"/>
    <col min="5649" max="5649" width="12.42578125" style="1" customWidth="1"/>
    <col min="5650" max="5650" width="12.5703125" style="1" customWidth="1"/>
    <col min="5651" max="5651" width="12.7109375" style="1" bestFit="1" customWidth="1"/>
    <col min="5652" max="5654" width="6.85546875" style="1"/>
    <col min="5655" max="5655" width="10.140625" style="1" bestFit="1" customWidth="1"/>
    <col min="5656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3" width="11.42578125" style="1" customWidth="1"/>
    <col min="5894" max="5894" width="13.140625" style="1" customWidth="1"/>
    <col min="5895" max="5895" width="11.140625" style="1" customWidth="1"/>
    <col min="5896" max="5896" width="10.7109375" style="1" customWidth="1"/>
    <col min="5897" max="5897" width="9" style="1" customWidth="1"/>
    <col min="5898" max="5898" width="9.140625" style="1" customWidth="1"/>
    <col min="5899" max="5899" width="10" style="1" customWidth="1"/>
    <col min="5900" max="5900" width="1.7109375" style="1" customWidth="1"/>
    <col min="5901" max="5901" width="12.42578125" style="1" customWidth="1"/>
    <col min="5902" max="5902" width="2" style="1" customWidth="1"/>
    <col min="5903" max="5903" width="13.85546875" style="1" customWidth="1"/>
    <col min="5904" max="5904" width="3.85546875" style="1" customWidth="1"/>
    <col min="5905" max="5905" width="12.42578125" style="1" customWidth="1"/>
    <col min="5906" max="5906" width="12.5703125" style="1" customWidth="1"/>
    <col min="5907" max="5907" width="12.7109375" style="1" bestFit="1" customWidth="1"/>
    <col min="5908" max="5910" width="6.85546875" style="1"/>
    <col min="5911" max="5911" width="10.140625" style="1" bestFit="1" customWidth="1"/>
    <col min="5912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49" width="11.42578125" style="1" customWidth="1"/>
    <col min="6150" max="6150" width="13.140625" style="1" customWidth="1"/>
    <col min="6151" max="6151" width="11.140625" style="1" customWidth="1"/>
    <col min="6152" max="6152" width="10.7109375" style="1" customWidth="1"/>
    <col min="6153" max="6153" width="9" style="1" customWidth="1"/>
    <col min="6154" max="6154" width="9.140625" style="1" customWidth="1"/>
    <col min="6155" max="6155" width="10" style="1" customWidth="1"/>
    <col min="6156" max="6156" width="1.7109375" style="1" customWidth="1"/>
    <col min="6157" max="6157" width="12.42578125" style="1" customWidth="1"/>
    <col min="6158" max="6158" width="2" style="1" customWidth="1"/>
    <col min="6159" max="6159" width="13.85546875" style="1" customWidth="1"/>
    <col min="6160" max="6160" width="3.85546875" style="1" customWidth="1"/>
    <col min="6161" max="6161" width="12.42578125" style="1" customWidth="1"/>
    <col min="6162" max="6162" width="12.5703125" style="1" customWidth="1"/>
    <col min="6163" max="6163" width="12.7109375" style="1" bestFit="1" customWidth="1"/>
    <col min="6164" max="6166" width="6.85546875" style="1"/>
    <col min="6167" max="6167" width="10.140625" style="1" bestFit="1" customWidth="1"/>
    <col min="6168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5" width="11.42578125" style="1" customWidth="1"/>
    <col min="6406" max="6406" width="13.140625" style="1" customWidth="1"/>
    <col min="6407" max="6407" width="11.140625" style="1" customWidth="1"/>
    <col min="6408" max="6408" width="10.7109375" style="1" customWidth="1"/>
    <col min="6409" max="6409" width="9" style="1" customWidth="1"/>
    <col min="6410" max="6410" width="9.140625" style="1" customWidth="1"/>
    <col min="6411" max="6411" width="10" style="1" customWidth="1"/>
    <col min="6412" max="6412" width="1.7109375" style="1" customWidth="1"/>
    <col min="6413" max="6413" width="12.42578125" style="1" customWidth="1"/>
    <col min="6414" max="6414" width="2" style="1" customWidth="1"/>
    <col min="6415" max="6415" width="13.85546875" style="1" customWidth="1"/>
    <col min="6416" max="6416" width="3.85546875" style="1" customWidth="1"/>
    <col min="6417" max="6417" width="12.42578125" style="1" customWidth="1"/>
    <col min="6418" max="6418" width="12.5703125" style="1" customWidth="1"/>
    <col min="6419" max="6419" width="12.7109375" style="1" bestFit="1" customWidth="1"/>
    <col min="6420" max="6422" width="6.85546875" style="1"/>
    <col min="6423" max="6423" width="10.140625" style="1" bestFit="1" customWidth="1"/>
    <col min="6424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1" width="11.42578125" style="1" customWidth="1"/>
    <col min="6662" max="6662" width="13.140625" style="1" customWidth="1"/>
    <col min="6663" max="6663" width="11.140625" style="1" customWidth="1"/>
    <col min="6664" max="6664" width="10.7109375" style="1" customWidth="1"/>
    <col min="6665" max="6665" width="9" style="1" customWidth="1"/>
    <col min="6666" max="6666" width="9.140625" style="1" customWidth="1"/>
    <col min="6667" max="6667" width="10" style="1" customWidth="1"/>
    <col min="6668" max="6668" width="1.7109375" style="1" customWidth="1"/>
    <col min="6669" max="6669" width="12.42578125" style="1" customWidth="1"/>
    <col min="6670" max="6670" width="2" style="1" customWidth="1"/>
    <col min="6671" max="6671" width="13.85546875" style="1" customWidth="1"/>
    <col min="6672" max="6672" width="3.85546875" style="1" customWidth="1"/>
    <col min="6673" max="6673" width="12.42578125" style="1" customWidth="1"/>
    <col min="6674" max="6674" width="12.5703125" style="1" customWidth="1"/>
    <col min="6675" max="6675" width="12.7109375" style="1" bestFit="1" customWidth="1"/>
    <col min="6676" max="6678" width="6.85546875" style="1"/>
    <col min="6679" max="6679" width="10.140625" style="1" bestFit="1" customWidth="1"/>
    <col min="6680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7" width="11.42578125" style="1" customWidth="1"/>
    <col min="6918" max="6918" width="13.140625" style="1" customWidth="1"/>
    <col min="6919" max="6919" width="11.140625" style="1" customWidth="1"/>
    <col min="6920" max="6920" width="10.7109375" style="1" customWidth="1"/>
    <col min="6921" max="6921" width="9" style="1" customWidth="1"/>
    <col min="6922" max="6922" width="9.140625" style="1" customWidth="1"/>
    <col min="6923" max="6923" width="10" style="1" customWidth="1"/>
    <col min="6924" max="6924" width="1.7109375" style="1" customWidth="1"/>
    <col min="6925" max="6925" width="12.42578125" style="1" customWidth="1"/>
    <col min="6926" max="6926" width="2" style="1" customWidth="1"/>
    <col min="6927" max="6927" width="13.85546875" style="1" customWidth="1"/>
    <col min="6928" max="6928" width="3.85546875" style="1" customWidth="1"/>
    <col min="6929" max="6929" width="12.42578125" style="1" customWidth="1"/>
    <col min="6930" max="6930" width="12.5703125" style="1" customWidth="1"/>
    <col min="6931" max="6931" width="12.7109375" style="1" bestFit="1" customWidth="1"/>
    <col min="6932" max="6934" width="6.85546875" style="1"/>
    <col min="6935" max="6935" width="10.140625" style="1" bestFit="1" customWidth="1"/>
    <col min="6936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3" width="11.42578125" style="1" customWidth="1"/>
    <col min="7174" max="7174" width="13.140625" style="1" customWidth="1"/>
    <col min="7175" max="7175" width="11.140625" style="1" customWidth="1"/>
    <col min="7176" max="7176" width="10.7109375" style="1" customWidth="1"/>
    <col min="7177" max="7177" width="9" style="1" customWidth="1"/>
    <col min="7178" max="7178" width="9.140625" style="1" customWidth="1"/>
    <col min="7179" max="7179" width="10" style="1" customWidth="1"/>
    <col min="7180" max="7180" width="1.7109375" style="1" customWidth="1"/>
    <col min="7181" max="7181" width="12.42578125" style="1" customWidth="1"/>
    <col min="7182" max="7182" width="2" style="1" customWidth="1"/>
    <col min="7183" max="7183" width="13.85546875" style="1" customWidth="1"/>
    <col min="7184" max="7184" width="3.85546875" style="1" customWidth="1"/>
    <col min="7185" max="7185" width="12.42578125" style="1" customWidth="1"/>
    <col min="7186" max="7186" width="12.5703125" style="1" customWidth="1"/>
    <col min="7187" max="7187" width="12.7109375" style="1" bestFit="1" customWidth="1"/>
    <col min="7188" max="7190" width="6.85546875" style="1"/>
    <col min="7191" max="7191" width="10.140625" style="1" bestFit="1" customWidth="1"/>
    <col min="7192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29" width="11.42578125" style="1" customWidth="1"/>
    <col min="7430" max="7430" width="13.140625" style="1" customWidth="1"/>
    <col min="7431" max="7431" width="11.140625" style="1" customWidth="1"/>
    <col min="7432" max="7432" width="10.7109375" style="1" customWidth="1"/>
    <col min="7433" max="7433" width="9" style="1" customWidth="1"/>
    <col min="7434" max="7434" width="9.140625" style="1" customWidth="1"/>
    <col min="7435" max="7435" width="10" style="1" customWidth="1"/>
    <col min="7436" max="7436" width="1.7109375" style="1" customWidth="1"/>
    <col min="7437" max="7437" width="12.42578125" style="1" customWidth="1"/>
    <col min="7438" max="7438" width="2" style="1" customWidth="1"/>
    <col min="7439" max="7439" width="13.85546875" style="1" customWidth="1"/>
    <col min="7440" max="7440" width="3.85546875" style="1" customWidth="1"/>
    <col min="7441" max="7441" width="12.42578125" style="1" customWidth="1"/>
    <col min="7442" max="7442" width="12.5703125" style="1" customWidth="1"/>
    <col min="7443" max="7443" width="12.7109375" style="1" bestFit="1" customWidth="1"/>
    <col min="7444" max="7446" width="6.85546875" style="1"/>
    <col min="7447" max="7447" width="10.140625" style="1" bestFit="1" customWidth="1"/>
    <col min="7448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5" width="11.42578125" style="1" customWidth="1"/>
    <col min="7686" max="7686" width="13.140625" style="1" customWidth="1"/>
    <col min="7687" max="7687" width="11.140625" style="1" customWidth="1"/>
    <col min="7688" max="7688" width="10.7109375" style="1" customWidth="1"/>
    <col min="7689" max="7689" width="9" style="1" customWidth="1"/>
    <col min="7690" max="7690" width="9.140625" style="1" customWidth="1"/>
    <col min="7691" max="7691" width="10" style="1" customWidth="1"/>
    <col min="7692" max="7692" width="1.7109375" style="1" customWidth="1"/>
    <col min="7693" max="7693" width="12.42578125" style="1" customWidth="1"/>
    <col min="7694" max="7694" width="2" style="1" customWidth="1"/>
    <col min="7695" max="7695" width="13.85546875" style="1" customWidth="1"/>
    <col min="7696" max="7696" width="3.85546875" style="1" customWidth="1"/>
    <col min="7697" max="7697" width="12.42578125" style="1" customWidth="1"/>
    <col min="7698" max="7698" width="12.5703125" style="1" customWidth="1"/>
    <col min="7699" max="7699" width="12.7109375" style="1" bestFit="1" customWidth="1"/>
    <col min="7700" max="7702" width="6.85546875" style="1"/>
    <col min="7703" max="7703" width="10.140625" style="1" bestFit="1" customWidth="1"/>
    <col min="7704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1" width="11.42578125" style="1" customWidth="1"/>
    <col min="7942" max="7942" width="13.140625" style="1" customWidth="1"/>
    <col min="7943" max="7943" width="11.140625" style="1" customWidth="1"/>
    <col min="7944" max="7944" width="10.7109375" style="1" customWidth="1"/>
    <col min="7945" max="7945" width="9" style="1" customWidth="1"/>
    <col min="7946" max="7946" width="9.140625" style="1" customWidth="1"/>
    <col min="7947" max="7947" width="10" style="1" customWidth="1"/>
    <col min="7948" max="7948" width="1.7109375" style="1" customWidth="1"/>
    <col min="7949" max="7949" width="12.42578125" style="1" customWidth="1"/>
    <col min="7950" max="7950" width="2" style="1" customWidth="1"/>
    <col min="7951" max="7951" width="13.85546875" style="1" customWidth="1"/>
    <col min="7952" max="7952" width="3.85546875" style="1" customWidth="1"/>
    <col min="7953" max="7953" width="12.42578125" style="1" customWidth="1"/>
    <col min="7954" max="7954" width="12.5703125" style="1" customWidth="1"/>
    <col min="7955" max="7955" width="12.7109375" style="1" bestFit="1" customWidth="1"/>
    <col min="7956" max="7958" width="6.85546875" style="1"/>
    <col min="7959" max="7959" width="10.140625" style="1" bestFit="1" customWidth="1"/>
    <col min="7960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7" width="11.42578125" style="1" customWidth="1"/>
    <col min="8198" max="8198" width="13.140625" style="1" customWidth="1"/>
    <col min="8199" max="8199" width="11.140625" style="1" customWidth="1"/>
    <col min="8200" max="8200" width="10.7109375" style="1" customWidth="1"/>
    <col min="8201" max="8201" width="9" style="1" customWidth="1"/>
    <col min="8202" max="8202" width="9.140625" style="1" customWidth="1"/>
    <col min="8203" max="8203" width="10" style="1" customWidth="1"/>
    <col min="8204" max="8204" width="1.7109375" style="1" customWidth="1"/>
    <col min="8205" max="8205" width="12.42578125" style="1" customWidth="1"/>
    <col min="8206" max="8206" width="2" style="1" customWidth="1"/>
    <col min="8207" max="8207" width="13.85546875" style="1" customWidth="1"/>
    <col min="8208" max="8208" width="3.85546875" style="1" customWidth="1"/>
    <col min="8209" max="8209" width="12.42578125" style="1" customWidth="1"/>
    <col min="8210" max="8210" width="12.5703125" style="1" customWidth="1"/>
    <col min="8211" max="8211" width="12.7109375" style="1" bestFit="1" customWidth="1"/>
    <col min="8212" max="8214" width="6.85546875" style="1"/>
    <col min="8215" max="8215" width="10.140625" style="1" bestFit="1" customWidth="1"/>
    <col min="8216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3" width="11.42578125" style="1" customWidth="1"/>
    <col min="8454" max="8454" width="13.140625" style="1" customWidth="1"/>
    <col min="8455" max="8455" width="11.140625" style="1" customWidth="1"/>
    <col min="8456" max="8456" width="10.7109375" style="1" customWidth="1"/>
    <col min="8457" max="8457" width="9" style="1" customWidth="1"/>
    <col min="8458" max="8458" width="9.140625" style="1" customWidth="1"/>
    <col min="8459" max="8459" width="10" style="1" customWidth="1"/>
    <col min="8460" max="8460" width="1.7109375" style="1" customWidth="1"/>
    <col min="8461" max="8461" width="12.42578125" style="1" customWidth="1"/>
    <col min="8462" max="8462" width="2" style="1" customWidth="1"/>
    <col min="8463" max="8463" width="13.85546875" style="1" customWidth="1"/>
    <col min="8464" max="8464" width="3.85546875" style="1" customWidth="1"/>
    <col min="8465" max="8465" width="12.42578125" style="1" customWidth="1"/>
    <col min="8466" max="8466" width="12.5703125" style="1" customWidth="1"/>
    <col min="8467" max="8467" width="12.7109375" style="1" bestFit="1" customWidth="1"/>
    <col min="8468" max="8470" width="6.85546875" style="1"/>
    <col min="8471" max="8471" width="10.140625" style="1" bestFit="1" customWidth="1"/>
    <col min="8472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09" width="11.42578125" style="1" customWidth="1"/>
    <col min="8710" max="8710" width="13.140625" style="1" customWidth="1"/>
    <col min="8711" max="8711" width="11.140625" style="1" customWidth="1"/>
    <col min="8712" max="8712" width="10.7109375" style="1" customWidth="1"/>
    <col min="8713" max="8713" width="9" style="1" customWidth="1"/>
    <col min="8714" max="8714" width="9.140625" style="1" customWidth="1"/>
    <col min="8715" max="8715" width="10" style="1" customWidth="1"/>
    <col min="8716" max="8716" width="1.7109375" style="1" customWidth="1"/>
    <col min="8717" max="8717" width="12.42578125" style="1" customWidth="1"/>
    <col min="8718" max="8718" width="2" style="1" customWidth="1"/>
    <col min="8719" max="8719" width="13.85546875" style="1" customWidth="1"/>
    <col min="8720" max="8720" width="3.85546875" style="1" customWidth="1"/>
    <col min="8721" max="8721" width="12.42578125" style="1" customWidth="1"/>
    <col min="8722" max="8722" width="12.5703125" style="1" customWidth="1"/>
    <col min="8723" max="8723" width="12.7109375" style="1" bestFit="1" customWidth="1"/>
    <col min="8724" max="8726" width="6.85546875" style="1"/>
    <col min="8727" max="8727" width="10.140625" style="1" bestFit="1" customWidth="1"/>
    <col min="8728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5" width="11.42578125" style="1" customWidth="1"/>
    <col min="8966" max="8966" width="13.140625" style="1" customWidth="1"/>
    <col min="8967" max="8967" width="11.140625" style="1" customWidth="1"/>
    <col min="8968" max="8968" width="10.7109375" style="1" customWidth="1"/>
    <col min="8969" max="8969" width="9" style="1" customWidth="1"/>
    <col min="8970" max="8970" width="9.140625" style="1" customWidth="1"/>
    <col min="8971" max="8971" width="10" style="1" customWidth="1"/>
    <col min="8972" max="8972" width="1.7109375" style="1" customWidth="1"/>
    <col min="8973" max="8973" width="12.42578125" style="1" customWidth="1"/>
    <col min="8974" max="8974" width="2" style="1" customWidth="1"/>
    <col min="8975" max="8975" width="13.85546875" style="1" customWidth="1"/>
    <col min="8976" max="8976" width="3.85546875" style="1" customWidth="1"/>
    <col min="8977" max="8977" width="12.42578125" style="1" customWidth="1"/>
    <col min="8978" max="8978" width="12.5703125" style="1" customWidth="1"/>
    <col min="8979" max="8979" width="12.7109375" style="1" bestFit="1" customWidth="1"/>
    <col min="8980" max="8982" width="6.85546875" style="1"/>
    <col min="8983" max="8983" width="10.140625" style="1" bestFit="1" customWidth="1"/>
    <col min="8984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1" width="11.42578125" style="1" customWidth="1"/>
    <col min="9222" max="9222" width="13.140625" style="1" customWidth="1"/>
    <col min="9223" max="9223" width="11.140625" style="1" customWidth="1"/>
    <col min="9224" max="9224" width="10.7109375" style="1" customWidth="1"/>
    <col min="9225" max="9225" width="9" style="1" customWidth="1"/>
    <col min="9226" max="9226" width="9.140625" style="1" customWidth="1"/>
    <col min="9227" max="9227" width="10" style="1" customWidth="1"/>
    <col min="9228" max="9228" width="1.7109375" style="1" customWidth="1"/>
    <col min="9229" max="9229" width="12.42578125" style="1" customWidth="1"/>
    <col min="9230" max="9230" width="2" style="1" customWidth="1"/>
    <col min="9231" max="9231" width="13.85546875" style="1" customWidth="1"/>
    <col min="9232" max="9232" width="3.85546875" style="1" customWidth="1"/>
    <col min="9233" max="9233" width="12.42578125" style="1" customWidth="1"/>
    <col min="9234" max="9234" width="12.5703125" style="1" customWidth="1"/>
    <col min="9235" max="9235" width="12.7109375" style="1" bestFit="1" customWidth="1"/>
    <col min="9236" max="9238" width="6.85546875" style="1"/>
    <col min="9239" max="9239" width="10.140625" style="1" bestFit="1" customWidth="1"/>
    <col min="9240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7" width="11.42578125" style="1" customWidth="1"/>
    <col min="9478" max="9478" width="13.140625" style="1" customWidth="1"/>
    <col min="9479" max="9479" width="11.140625" style="1" customWidth="1"/>
    <col min="9480" max="9480" width="10.7109375" style="1" customWidth="1"/>
    <col min="9481" max="9481" width="9" style="1" customWidth="1"/>
    <col min="9482" max="9482" width="9.140625" style="1" customWidth="1"/>
    <col min="9483" max="9483" width="10" style="1" customWidth="1"/>
    <col min="9484" max="9484" width="1.7109375" style="1" customWidth="1"/>
    <col min="9485" max="9485" width="12.42578125" style="1" customWidth="1"/>
    <col min="9486" max="9486" width="2" style="1" customWidth="1"/>
    <col min="9487" max="9487" width="13.85546875" style="1" customWidth="1"/>
    <col min="9488" max="9488" width="3.85546875" style="1" customWidth="1"/>
    <col min="9489" max="9489" width="12.42578125" style="1" customWidth="1"/>
    <col min="9490" max="9490" width="12.5703125" style="1" customWidth="1"/>
    <col min="9491" max="9491" width="12.7109375" style="1" bestFit="1" customWidth="1"/>
    <col min="9492" max="9494" width="6.85546875" style="1"/>
    <col min="9495" max="9495" width="10.140625" style="1" bestFit="1" customWidth="1"/>
    <col min="9496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3" width="11.42578125" style="1" customWidth="1"/>
    <col min="9734" max="9734" width="13.140625" style="1" customWidth="1"/>
    <col min="9735" max="9735" width="11.140625" style="1" customWidth="1"/>
    <col min="9736" max="9736" width="10.7109375" style="1" customWidth="1"/>
    <col min="9737" max="9737" width="9" style="1" customWidth="1"/>
    <col min="9738" max="9738" width="9.140625" style="1" customWidth="1"/>
    <col min="9739" max="9739" width="10" style="1" customWidth="1"/>
    <col min="9740" max="9740" width="1.7109375" style="1" customWidth="1"/>
    <col min="9741" max="9741" width="12.42578125" style="1" customWidth="1"/>
    <col min="9742" max="9742" width="2" style="1" customWidth="1"/>
    <col min="9743" max="9743" width="13.85546875" style="1" customWidth="1"/>
    <col min="9744" max="9744" width="3.85546875" style="1" customWidth="1"/>
    <col min="9745" max="9745" width="12.42578125" style="1" customWidth="1"/>
    <col min="9746" max="9746" width="12.5703125" style="1" customWidth="1"/>
    <col min="9747" max="9747" width="12.7109375" style="1" bestFit="1" customWidth="1"/>
    <col min="9748" max="9750" width="6.85546875" style="1"/>
    <col min="9751" max="9751" width="10.140625" style="1" bestFit="1" customWidth="1"/>
    <col min="9752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89" width="11.42578125" style="1" customWidth="1"/>
    <col min="9990" max="9990" width="13.140625" style="1" customWidth="1"/>
    <col min="9991" max="9991" width="11.140625" style="1" customWidth="1"/>
    <col min="9992" max="9992" width="10.7109375" style="1" customWidth="1"/>
    <col min="9993" max="9993" width="9" style="1" customWidth="1"/>
    <col min="9994" max="9994" width="9.140625" style="1" customWidth="1"/>
    <col min="9995" max="9995" width="10" style="1" customWidth="1"/>
    <col min="9996" max="9996" width="1.7109375" style="1" customWidth="1"/>
    <col min="9997" max="9997" width="12.42578125" style="1" customWidth="1"/>
    <col min="9998" max="9998" width="2" style="1" customWidth="1"/>
    <col min="9999" max="9999" width="13.85546875" style="1" customWidth="1"/>
    <col min="10000" max="10000" width="3.85546875" style="1" customWidth="1"/>
    <col min="10001" max="10001" width="12.42578125" style="1" customWidth="1"/>
    <col min="10002" max="10002" width="12.5703125" style="1" customWidth="1"/>
    <col min="10003" max="10003" width="12.7109375" style="1" bestFit="1" customWidth="1"/>
    <col min="10004" max="10006" width="6.85546875" style="1"/>
    <col min="10007" max="10007" width="10.140625" style="1" bestFit="1" customWidth="1"/>
    <col min="10008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5" width="11.42578125" style="1" customWidth="1"/>
    <col min="10246" max="10246" width="13.140625" style="1" customWidth="1"/>
    <col min="10247" max="10247" width="11.140625" style="1" customWidth="1"/>
    <col min="10248" max="10248" width="10.7109375" style="1" customWidth="1"/>
    <col min="10249" max="10249" width="9" style="1" customWidth="1"/>
    <col min="10250" max="10250" width="9.140625" style="1" customWidth="1"/>
    <col min="10251" max="10251" width="10" style="1" customWidth="1"/>
    <col min="10252" max="10252" width="1.7109375" style="1" customWidth="1"/>
    <col min="10253" max="10253" width="12.42578125" style="1" customWidth="1"/>
    <col min="10254" max="10254" width="2" style="1" customWidth="1"/>
    <col min="10255" max="10255" width="13.85546875" style="1" customWidth="1"/>
    <col min="10256" max="10256" width="3.85546875" style="1" customWidth="1"/>
    <col min="10257" max="10257" width="12.42578125" style="1" customWidth="1"/>
    <col min="10258" max="10258" width="12.5703125" style="1" customWidth="1"/>
    <col min="10259" max="10259" width="12.7109375" style="1" bestFit="1" customWidth="1"/>
    <col min="10260" max="10262" width="6.85546875" style="1"/>
    <col min="10263" max="10263" width="10.140625" style="1" bestFit="1" customWidth="1"/>
    <col min="10264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1" width="11.42578125" style="1" customWidth="1"/>
    <col min="10502" max="10502" width="13.140625" style="1" customWidth="1"/>
    <col min="10503" max="10503" width="11.140625" style="1" customWidth="1"/>
    <col min="10504" max="10504" width="10.7109375" style="1" customWidth="1"/>
    <col min="10505" max="10505" width="9" style="1" customWidth="1"/>
    <col min="10506" max="10506" width="9.140625" style="1" customWidth="1"/>
    <col min="10507" max="10507" width="10" style="1" customWidth="1"/>
    <col min="10508" max="10508" width="1.7109375" style="1" customWidth="1"/>
    <col min="10509" max="10509" width="12.42578125" style="1" customWidth="1"/>
    <col min="10510" max="10510" width="2" style="1" customWidth="1"/>
    <col min="10511" max="10511" width="13.85546875" style="1" customWidth="1"/>
    <col min="10512" max="10512" width="3.85546875" style="1" customWidth="1"/>
    <col min="10513" max="10513" width="12.42578125" style="1" customWidth="1"/>
    <col min="10514" max="10514" width="12.5703125" style="1" customWidth="1"/>
    <col min="10515" max="10515" width="12.7109375" style="1" bestFit="1" customWidth="1"/>
    <col min="10516" max="10518" width="6.85546875" style="1"/>
    <col min="10519" max="10519" width="10.140625" style="1" bestFit="1" customWidth="1"/>
    <col min="10520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7" width="11.42578125" style="1" customWidth="1"/>
    <col min="10758" max="10758" width="13.140625" style="1" customWidth="1"/>
    <col min="10759" max="10759" width="11.140625" style="1" customWidth="1"/>
    <col min="10760" max="10760" width="10.7109375" style="1" customWidth="1"/>
    <col min="10761" max="10761" width="9" style="1" customWidth="1"/>
    <col min="10762" max="10762" width="9.140625" style="1" customWidth="1"/>
    <col min="10763" max="10763" width="10" style="1" customWidth="1"/>
    <col min="10764" max="10764" width="1.7109375" style="1" customWidth="1"/>
    <col min="10765" max="10765" width="12.42578125" style="1" customWidth="1"/>
    <col min="10766" max="10766" width="2" style="1" customWidth="1"/>
    <col min="10767" max="10767" width="13.85546875" style="1" customWidth="1"/>
    <col min="10768" max="10768" width="3.85546875" style="1" customWidth="1"/>
    <col min="10769" max="10769" width="12.42578125" style="1" customWidth="1"/>
    <col min="10770" max="10770" width="12.5703125" style="1" customWidth="1"/>
    <col min="10771" max="10771" width="12.7109375" style="1" bestFit="1" customWidth="1"/>
    <col min="10772" max="10774" width="6.85546875" style="1"/>
    <col min="10775" max="10775" width="10.140625" style="1" bestFit="1" customWidth="1"/>
    <col min="10776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3" width="11.42578125" style="1" customWidth="1"/>
    <col min="11014" max="11014" width="13.140625" style="1" customWidth="1"/>
    <col min="11015" max="11015" width="11.140625" style="1" customWidth="1"/>
    <col min="11016" max="11016" width="10.7109375" style="1" customWidth="1"/>
    <col min="11017" max="11017" width="9" style="1" customWidth="1"/>
    <col min="11018" max="11018" width="9.140625" style="1" customWidth="1"/>
    <col min="11019" max="11019" width="10" style="1" customWidth="1"/>
    <col min="11020" max="11020" width="1.7109375" style="1" customWidth="1"/>
    <col min="11021" max="11021" width="12.42578125" style="1" customWidth="1"/>
    <col min="11022" max="11022" width="2" style="1" customWidth="1"/>
    <col min="11023" max="11023" width="13.85546875" style="1" customWidth="1"/>
    <col min="11024" max="11024" width="3.85546875" style="1" customWidth="1"/>
    <col min="11025" max="11025" width="12.42578125" style="1" customWidth="1"/>
    <col min="11026" max="11026" width="12.5703125" style="1" customWidth="1"/>
    <col min="11027" max="11027" width="12.7109375" style="1" bestFit="1" customWidth="1"/>
    <col min="11028" max="11030" width="6.85546875" style="1"/>
    <col min="11031" max="11031" width="10.140625" style="1" bestFit="1" customWidth="1"/>
    <col min="11032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69" width="11.42578125" style="1" customWidth="1"/>
    <col min="11270" max="11270" width="13.140625" style="1" customWidth="1"/>
    <col min="11271" max="11271" width="11.140625" style="1" customWidth="1"/>
    <col min="11272" max="11272" width="10.7109375" style="1" customWidth="1"/>
    <col min="11273" max="11273" width="9" style="1" customWidth="1"/>
    <col min="11274" max="11274" width="9.140625" style="1" customWidth="1"/>
    <col min="11275" max="11275" width="10" style="1" customWidth="1"/>
    <col min="11276" max="11276" width="1.7109375" style="1" customWidth="1"/>
    <col min="11277" max="11277" width="12.42578125" style="1" customWidth="1"/>
    <col min="11278" max="11278" width="2" style="1" customWidth="1"/>
    <col min="11279" max="11279" width="13.85546875" style="1" customWidth="1"/>
    <col min="11280" max="11280" width="3.85546875" style="1" customWidth="1"/>
    <col min="11281" max="11281" width="12.42578125" style="1" customWidth="1"/>
    <col min="11282" max="11282" width="12.5703125" style="1" customWidth="1"/>
    <col min="11283" max="11283" width="12.7109375" style="1" bestFit="1" customWidth="1"/>
    <col min="11284" max="11286" width="6.85546875" style="1"/>
    <col min="11287" max="11287" width="10.140625" style="1" bestFit="1" customWidth="1"/>
    <col min="11288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5" width="11.42578125" style="1" customWidth="1"/>
    <col min="11526" max="11526" width="13.140625" style="1" customWidth="1"/>
    <col min="11527" max="11527" width="11.140625" style="1" customWidth="1"/>
    <col min="11528" max="11528" width="10.7109375" style="1" customWidth="1"/>
    <col min="11529" max="11529" width="9" style="1" customWidth="1"/>
    <col min="11530" max="11530" width="9.140625" style="1" customWidth="1"/>
    <col min="11531" max="11531" width="10" style="1" customWidth="1"/>
    <col min="11532" max="11532" width="1.7109375" style="1" customWidth="1"/>
    <col min="11533" max="11533" width="12.42578125" style="1" customWidth="1"/>
    <col min="11534" max="11534" width="2" style="1" customWidth="1"/>
    <col min="11535" max="11535" width="13.85546875" style="1" customWidth="1"/>
    <col min="11536" max="11536" width="3.85546875" style="1" customWidth="1"/>
    <col min="11537" max="11537" width="12.42578125" style="1" customWidth="1"/>
    <col min="11538" max="11538" width="12.5703125" style="1" customWidth="1"/>
    <col min="11539" max="11539" width="12.7109375" style="1" bestFit="1" customWidth="1"/>
    <col min="11540" max="11542" width="6.85546875" style="1"/>
    <col min="11543" max="11543" width="10.140625" style="1" bestFit="1" customWidth="1"/>
    <col min="11544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1" width="11.42578125" style="1" customWidth="1"/>
    <col min="11782" max="11782" width="13.140625" style="1" customWidth="1"/>
    <col min="11783" max="11783" width="11.140625" style="1" customWidth="1"/>
    <col min="11784" max="11784" width="10.7109375" style="1" customWidth="1"/>
    <col min="11785" max="11785" width="9" style="1" customWidth="1"/>
    <col min="11786" max="11786" width="9.140625" style="1" customWidth="1"/>
    <col min="11787" max="11787" width="10" style="1" customWidth="1"/>
    <col min="11788" max="11788" width="1.7109375" style="1" customWidth="1"/>
    <col min="11789" max="11789" width="12.42578125" style="1" customWidth="1"/>
    <col min="11790" max="11790" width="2" style="1" customWidth="1"/>
    <col min="11791" max="11791" width="13.85546875" style="1" customWidth="1"/>
    <col min="11792" max="11792" width="3.85546875" style="1" customWidth="1"/>
    <col min="11793" max="11793" width="12.42578125" style="1" customWidth="1"/>
    <col min="11794" max="11794" width="12.5703125" style="1" customWidth="1"/>
    <col min="11795" max="11795" width="12.7109375" style="1" bestFit="1" customWidth="1"/>
    <col min="11796" max="11798" width="6.85546875" style="1"/>
    <col min="11799" max="11799" width="10.140625" style="1" bestFit="1" customWidth="1"/>
    <col min="11800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7" width="11.42578125" style="1" customWidth="1"/>
    <col min="12038" max="12038" width="13.140625" style="1" customWidth="1"/>
    <col min="12039" max="12039" width="11.140625" style="1" customWidth="1"/>
    <col min="12040" max="12040" width="10.7109375" style="1" customWidth="1"/>
    <col min="12041" max="12041" width="9" style="1" customWidth="1"/>
    <col min="12042" max="12042" width="9.140625" style="1" customWidth="1"/>
    <col min="12043" max="12043" width="10" style="1" customWidth="1"/>
    <col min="12044" max="12044" width="1.7109375" style="1" customWidth="1"/>
    <col min="12045" max="12045" width="12.42578125" style="1" customWidth="1"/>
    <col min="12046" max="12046" width="2" style="1" customWidth="1"/>
    <col min="12047" max="12047" width="13.85546875" style="1" customWidth="1"/>
    <col min="12048" max="12048" width="3.85546875" style="1" customWidth="1"/>
    <col min="12049" max="12049" width="12.42578125" style="1" customWidth="1"/>
    <col min="12050" max="12050" width="12.5703125" style="1" customWidth="1"/>
    <col min="12051" max="12051" width="12.7109375" style="1" bestFit="1" customWidth="1"/>
    <col min="12052" max="12054" width="6.85546875" style="1"/>
    <col min="12055" max="12055" width="10.140625" style="1" bestFit="1" customWidth="1"/>
    <col min="12056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3" width="11.42578125" style="1" customWidth="1"/>
    <col min="12294" max="12294" width="13.140625" style="1" customWidth="1"/>
    <col min="12295" max="12295" width="11.140625" style="1" customWidth="1"/>
    <col min="12296" max="12296" width="10.7109375" style="1" customWidth="1"/>
    <col min="12297" max="12297" width="9" style="1" customWidth="1"/>
    <col min="12298" max="12298" width="9.140625" style="1" customWidth="1"/>
    <col min="12299" max="12299" width="10" style="1" customWidth="1"/>
    <col min="12300" max="12300" width="1.7109375" style="1" customWidth="1"/>
    <col min="12301" max="12301" width="12.42578125" style="1" customWidth="1"/>
    <col min="12302" max="12302" width="2" style="1" customWidth="1"/>
    <col min="12303" max="12303" width="13.85546875" style="1" customWidth="1"/>
    <col min="12304" max="12304" width="3.85546875" style="1" customWidth="1"/>
    <col min="12305" max="12305" width="12.42578125" style="1" customWidth="1"/>
    <col min="12306" max="12306" width="12.5703125" style="1" customWidth="1"/>
    <col min="12307" max="12307" width="12.7109375" style="1" bestFit="1" customWidth="1"/>
    <col min="12308" max="12310" width="6.85546875" style="1"/>
    <col min="12311" max="12311" width="10.140625" style="1" bestFit="1" customWidth="1"/>
    <col min="12312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49" width="11.42578125" style="1" customWidth="1"/>
    <col min="12550" max="12550" width="13.140625" style="1" customWidth="1"/>
    <col min="12551" max="12551" width="11.140625" style="1" customWidth="1"/>
    <col min="12552" max="12552" width="10.7109375" style="1" customWidth="1"/>
    <col min="12553" max="12553" width="9" style="1" customWidth="1"/>
    <col min="12554" max="12554" width="9.140625" style="1" customWidth="1"/>
    <col min="12555" max="12555" width="10" style="1" customWidth="1"/>
    <col min="12556" max="12556" width="1.7109375" style="1" customWidth="1"/>
    <col min="12557" max="12557" width="12.42578125" style="1" customWidth="1"/>
    <col min="12558" max="12558" width="2" style="1" customWidth="1"/>
    <col min="12559" max="12559" width="13.85546875" style="1" customWidth="1"/>
    <col min="12560" max="12560" width="3.85546875" style="1" customWidth="1"/>
    <col min="12561" max="12561" width="12.42578125" style="1" customWidth="1"/>
    <col min="12562" max="12562" width="12.5703125" style="1" customWidth="1"/>
    <col min="12563" max="12563" width="12.7109375" style="1" bestFit="1" customWidth="1"/>
    <col min="12564" max="12566" width="6.85546875" style="1"/>
    <col min="12567" max="12567" width="10.140625" style="1" bestFit="1" customWidth="1"/>
    <col min="12568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5" width="11.42578125" style="1" customWidth="1"/>
    <col min="12806" max="12806" width="13.140625" style="1" customWidth="1"/>
    <col min="12807" max="12807" width="11.140625" style="1" customWidth="1"/>
    <col min="12808" max="12808" width="10.7109375" style="1" customWidth="1"/>
    <col min="12809" max="12809" width="9" style="1" customWidth="1"/>
    <col min="12810" max="12810" width="9.140625" style="1" customWidth="1"/>
    <col min="12811" max="12811" width="10" style="1" customWidth="1"/>
    <col min="12812" max="12812" width="1.7109375" style="1" customWidth="1"/>
    <col min="12813" max="12813" width="12.42578125" style="1" customWidth="1"/>
    <col min="12814" max="12814" width="2" style="1" customWidth="1"/>
    <col min="12815" max="12815" width="13.85546875" style="1" customWidth="1"/>
    <col min="12816" max="12816" width="3.85546875" style="1" customWidth="1"/>
    <col min="12817" max="12817" width="12.42578125" style="1" customWidth="1"/>
    <col min="12818" max="12818" width="12.5703125" style="1" customWidth="1"/>
    <col min="12819" max="12819" width="12.7109375" style="1" bestFit="1" customWidth="1"/>
    <col min="12820" max="12822" width="6.85546875" style="1"/>
    <col min="12823" max="12823" width="10.140625" style="1" bestFit="1" customWidth="1"/>
    <col min="12824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1" width="11.42578125" style="1" customWidth="1"/>
    <col min="13062" max="13062" width="13.140625" style="1" customWidth="1"/>
    <col min="13063" max="13063" width="11.140625" style="1" customWidth="1"/>
    <col min="13064" max="13064" width="10.7109375" style="1" customWidth="1"/>
    <col min="13065" max="13065" width="9" style="1" customWidth="1"/>
    <col min="13066" max="13066" width="9.140625" style="1" customWidth="1"/>
    <col min="13067" max="13067" width="10" style="1" customWidth="1"/>
    <col min="13068" max="13068" width="1.7109375" style="1" customWidth="1"/>
    <col min="13069" max="13069" width="12.42578125" style="1" customWidth="1"/>
    <col min="13070" max="13070" width="2" style="1" customWidth="1"/>
    <col min="13071" max="13071" width="13.85546875" style="1" customWidth="1"/>
    <col min="13072" max="13072" width="3.85546875" style="1" customWidth="1"/>
    <col min="13073" max="13073" width="12.42578125" style="1" customWidth="1"/>
    <col min="13074" max="13074" width="12.5703125" style="1" customWidth="1"/>
    <col min="13075" max="13075" width="12.7109375" style="1" bestFit="1" customWidth="1"/>
    <col min="13076" max="13078" width="6.85546875" style="1"/>
    <col min="13079" max="13079" width="10.140625" style="1" bestFit="1" customWidth="1"/>
    <col min="13080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7" width="11.42578125" style="1" customWidth="1"/>
    <col min="13318" max="13318" width="13.140625" style="1" customWidth="1"/>
    <col min="13319" max="13319" width="11.140625" style="1" customWidth="1"/>
    <col min="13320" max="13320" width="10.7109375" style="1" customWidth="1"/>
    <col min="13321" max="13321" width="9" style="1" customWidth="1"/>
    <col min="13322" max="13322" width="9.140625" style="1" customWidth="1"/>
    <col min="13323" max="13323" width="10" style="1" customWidth="1"/>
    <col min="13324" max="13324" width="1.7109375" style="1" customWidth="1"/>
    <col min="13325" max="13325" width="12.42578125" style="1" customWidth="1"/>
    <col min="13326" max="13326" width="2" style="1" customWidth="1"/>
    <col min="13327" max="13327" width="13.85546875" style="1" customWidth="1"/>
    <col min="13328" max="13328" width="3.85546875" style="1" customWidth="1"/>
    <col min="13329" max="13329" width="12.42578125" style="1" customWidth="1"/>
    <col min="13330" max="13330" width="12.5703125" style="1" customWidth="1"/>
    <col min="13331" max="13331" width="12.7109375" style="1" bestFit="1" customWidth="1"/>
    <col min="13332" max="13334" width="6.85546875" style="1"/>
    <col min="13335" max="13335" width="10.140625" style="1" bestFit="1" customWidth="1"/>
    <col min="13336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3" width="11.42578125" style="1" customWidth="1"/>
    <col min="13574" max="13574" width="13.140625" style="1" customWidth="1"/>
    <col min="13575" max="13575" width="11.140625" style="1" customWidth="1"/>
    <col min="13576" max="13576" width="10.7109375" style="1" customWidth="1"/>
    <col min="13577" max="13577" width="9" style="1" customWidth="1"/>
    <col min="13578" max="13578" width="9.140625" style="1" customWidth="1"/>
    <col min="13579" max="13579" width="10" style="1" customWidth="1"/>
    <col min="13580" max="13580" width="1.7109375" style="1" customWidth="1"/>
    <col min="13581" max="13581" width="12.42578125" style="1" customWidth="1"/>
    <col min="13582" max="13582" width="2" style="1" customWidth="1"/>
    <col min="13583" max="13583" width="13.85546875" style="1" customWidth="1"/>
    <col min="13584" max="13584" width="3.85546875" style="1" customWidth="1"/>
    <col min="13585" max="13585" width="12.42578125" style="1" customWidth="1"/>
    <col min="13586" max="13586" width="12.5703125" style="1" customWidth="1"/>
    <col min="13587" max="13587" width="12.7109375" style="1" bestFit="1" customWidth="1"/>
    <col min="13588" max="13590" width="6.85546875" style="1"/>
    <col min="13591" max="13591" width="10.140625" style="1" bestFit="1" customWidth="1"/>
    <col min="13592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29" width="11.42578125" style="1" customWidth="1"/>
    <col min="13830" max="13830" width="13.140625" style="1" customWidth="1"/>
    <col min="13831" max="13831" width="11.140625" style="1" customWidth="1"/>
    <col min="13832" max="13832" width="10.7109375" style="1" customWidth="1"/>
    <col min="13833" max="13833" width="9" style="1" customWidth="1"/>
    <col min="13834" max="13834" width="9.140625" style="1" customWidth="1"/>
    <col min="13835" max="13835" width="10" style="1" customWidth="1"/>
    <col min="13836" max="13836" width="1.7109375" style="1" customWidth="1"/>
    <col min="13837" max="13837" width="12.42578125" style="1" customWidth="1"/>
    <col min="13838" max="13838" width="2" style="1" customWidth="1"/>
    <col min="13839" max="13839" width="13.85546875" style="1" customWidth="1"/>
    <col min="13840" max="13840" width="3.85546875" style="1" customWidth="1"/>
    <col min="13841" max="13841" width="12.42578125" style="1" customWidth="1"/>
    <col min="13842" max="13842" width="12.5703125" style="1" customWidth="1"/>
    <col min="13843" max="13843" width="12.7109375" style="1" bestFit="1" customWidth="1"/>
    <col min="13844" max="13846" width="6.85546875" style="1"/>
    <col min="13847" max="13847" width="10.140625" style="1" bestFit="1" customWidth="1"/>
    <col min="13848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5" width="11.42578125" style="1" customWidth="1"/>
    <col min="14086" max="14086" width="13.140625" style="1" customWidth="1"/>
    <col min="14087" max="14087" width="11.140625" style="1" customWidth="1"/>
    <col min="14088" max="14088" width="10.7109375" style="1" customWidth="1"/>
    <col min="14089" max="14089" width="9" style="1" customWidth="1"/>
    <col min="14090" max="14090" width="9.140625" style="1" customWidth="1"/>
    <col min="14091" max="14091" width="10" style="1" customWidth="1"/>
    <col min="14092" max="14092" width="1.7109375" style="1" customWidth="1"/>
    <col min="14093" max="14093" width="12.42578125" style="1" customWidth="1"/>
    <col min="14094" max="14094" width="2" style="1" customWidth="1"/>
    <col min="14095" max="14095" width="13.85546875" style="1" customWidth="1"/>
    <col min="14096" max="14096" width="3.85546875" style="1" customWidth="1"/>
    <col min="14097" max="14097" width="12.42578125" style="1" customWidth="1"/>
    <col min="14098" max="14098" width="12.5703125" style="1" customWidth="1"/>
    <col min="14099" max="14099" width="12.7109375" style="1" bestFit="1" customWidth="1"/>
    <col min="14100" max="14102" width="6.85546875" style="1"/>
    <col min="14103" max="14103" width="10.140625" style="1" bestFit="1" customWidth="1"/>
    <col min="14104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1" width="11.42578125" style="1" customWidth="1"/>
    <col min="14342" max="14342" width="13.140625" style="1" customWidth="1"/>
    <col min="14343" max="14343" width="11.140625" style="1" customWidth="1"/>
    <col min="14344" max="14344" width="10.7109375" style="1" customWidth="1"/>
    <col min="14345" max="14345" width="9" style="1" customWidth="1"/>
    <col min="14346" max="14346" width="9.140625" style="1" customWidth="1"/>
    <col min="14347" max="14347" width="10" style="1" customWidth="1"/>
    <col min="14348" max="14348" width="1.7109375" style="1" customWidth="1"/>
    <col min="14349" max="14349" width="12.42578125" style="1" customWidth="1"/>
    <col min="14350" max="14350" width="2" style="1" customWidth="1"/>
    <col min="14351" max="14351" width="13.85546875" style="1" customWidth="1"/>
    <col min="14352" max="14352" width="3.85546875" style="1" customWidth="1"/>
    <col min="14353" max="14353" width="12.42578125" style="1" customWidth="1"/>
    <col min="14354" max="14354" width="12.5703125" style="1" customWidth="1"/>
    <col min="14355" max="14355" width="12.7109375" style="1" bestFit="1" customWidth="1"/>
    <col min="14356" max="14358" width="6.85546875" style="1"/>
    <col min="14359" max="14359" width="10.140625" style="1" bestFit="1" customWidth="1"/>
    <col min="14360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7" width="11.42578125" style="1" customWidth="1"/>
    <col min="14598" max="14598" width="13.140625" style="1" customWidth="1"/>
    <col min="14599" max="14599" width="11.140625" style="1" customWidth="1"/>
    <col min="14600" max="14600" width="10.7109375" style="1" customWidth="1"/>
    <col min="14601" max="14601" width="9" style="1" customWidth="1"/>
    <col min="14602" max="14602" width="9.140625" style="1" customWidth="1"/>
    <col min="14603" max="14603" width="10" style="1" customWidth="1"/>
    <col min="14604" max="14604" width="1.7109375" style="1" customWidth="1"/>
    <col min="14605" max="14605" width="12.42578125" style="1" customWidth="1"/>
    <col min="14606" max="14606" width="2" style="1" customWidth="1"/>
    <col min="14607" max="14607" width="13.85546875" style="1" customWidth="1"/>
    <col min="14608" max="14608" width="3.85546875" style="1" customWidth="1"/>
    <col min="14609" max="14609" width="12.42578125" style="1" customWidth="1"/>
    <col min="14610" max="14610" width="12.5703125" style="1" customWidth="1"/>
    <col min="14611" max="14611" width="12.7109375" style="1" bestFit="1" customWidth="1"/>
    <col min="14612" max="14614" width="6.85546875" style="1"/>
    <col min="14615" max="14615" width="10.140625" style="1" bestFit="1" customWidth="1"/>
    <col min="14616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3" width="11.42578125" style="1" customWidth="1"/>
    <col min="14854" max="14854" width="13.140625" style="1" customWidth="1"/>
    <col min="14855" max="14855" width="11.140625" style="1" customWidth="1"/>
    <col min="14856" max="14856" width="10.7109375" style="1" customWidth="1"/>
    <col min="14857" max="14857" width="9" style="1" customWidth="1"/>
    <col min="14858" max="14858" width="9.140625" style="1" customWidth="1"/>
    <col min="14859" max="14859" width="10" style="1" customWidth="1"/>
    <col min="14860" max="14860" width="1.7109375" style="1" customWidth="1"/>
    <col min="14861" max="14861" width="12.42578125" style="1" customWidth="1"/>
    <col min="14862" max="14862" width="2" style="1" customWidth="1"/>
    <col min="14863" max="14863" width="13.85546875" style="1" customWidth="1"/>
    <col min="14864" max="14864" width="3.85546875" style="1" customWidth="1"/>
    <col min="14865" max="14865" width="12.42578125" style="1" customWidth="1"/>
    <col min="14866" max="14866" width="12.5703125" style="1" customWidth="1"/>
    <col min="14867" max="14867" width="12.7109375" style="1" bestFit="1" customWidth="1"/>
    <col min="14868" max="14870" width="6.85546875" style="1"/>
    <col min="14871" max="14871" width="10.140625" style="1" bestFit="1" customWidth="1"/>
    <col min="14872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09" width="11.42578125" style="1" customWidth="1"/>
    <col min="15110" max="15110" width="13.140625" style="1" customWidth="1"/>
    <col min="15111" max="15111" width="11.140625" style="1" customWidth="1"/>
    <col min="15112" max="15112" width="10.7109375" style="1" customWidth="1"/>
    <col min="15113" max="15113" width="9" style="1" customWidth="1"/>
    <col min="15114" max="15114" width="9.140625" style="1" customWidth="1"/>
    <col min="15115" max="15115" width="10" style="1" customWidth="1"/>
    <col min="15116" max="15116" width="1.7109375" style="1" customWidth="1"/>
    <col min="15117" max="15117" width="12.42578125" style="1" customWidth="1"/>
    <col min="15118" max="15118" width="2" style="1" customWidth="1"/>
    <col min="15119" max="15119" width="13.85546875" style="1" customWidth="1"/>
    <col min="15120" max="15120" width="3.85546875" style="1" customWidth="1"/>
    <col min="15121" max="15121" width="12.42578125" style="1" customWidth="1"/>
    <col min="15122" max="15122" width="12.5703125" style="1" customWidth="1"/>
    <col min="15123" max="15123" width="12.7109375" style="1" bestFit="1" customWidth="1"/>
    <col min="15124" max="15126" width="6.85546875" style="1"/>
    <col min="15127" max="15127" width="10.140625" style="1" bestFit="1" customWidth="1"/>
    <col min="15128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5" width="11.42578125" style="1" customWidth="1"/>
    <col min="15366" max="15366" width="13.140625" style="1" customWidth="1"/>
    <col min="15367" max="15367" width="11.140625" style="1" customWidth="1"/>
    <col min="15368" max="15368" width="10.7109375" style="1" customWidth="1"/>
    <col min="15369" max="15369" width="9" style="1" customWidth="1"/>
    <col min="15370" max="15370" width="9.140625" style="1" customWidth="1"/>
    <col min="15371" max="15371" width="10" style="1" customWidth="1"/>
    <col min="15372" max="15372" width="1.7109375" style="1" customWidth="1"/>
    <col min="15373" max="15373" width="12.42578125" style="1" customWidth="1"/>
    <col min="15374" max="15374" width="2" style="1" customWidth="1"/>
    <col min="15375" max="15375" width="13.85546875" style="1" customWidth="1"/>
    <col min="15376" max="15376" width="3.85546875" style="1" customWidth="1"/>
    <col min="15377" max="15377" width="12.42578125" style="1" customWidth="1"/>
    <col min="15378" max="15378" width="12.5703125" style="1" customWidth="1"/>
    <col min="15379" max="15379" width="12.7109375" style="1" bestFit="1" customWidth="1"/>
    <col min="15380" max="15382" width="6.85546875" style="1"/>
    <col min="15383" max="15383" width="10.140625" style="1" bestFit="1" customWidth="1"/>
    <col min="15384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1" width="11.42578125" style="1" customWidth="1"/>
    <col min="15622" max="15622" width="13.140625" style="1" customWidth="1"/>
    <col min="15623" max="15623" width="11.140625" style="1" customWidth="1"/>
    <col min="15624" max="15624" width="10.7109375" style="1" customWidth="1"/>
    <col min="15625" max="15625" width="9" style="1" customWidth="1"/>
    <col min="15626" max="15626" width="9.140625" style="1" customWidth="1"/>
    <col min="15627" max="15627" width="10" style="1" customWidth="1"/>
    <col min="15628" max="15628" width="1.7109375" style="1" customWidth="1"/>
    <col min="15629" max="15629" width="12.42578125" style="1" customWidth="1"/>
    <col min="15630" max="15630" width="2" style="1" customWidth="1"/>
    <col min="15631" max="15631" width="13.85546875" style="1" customWidth="1"/>
    <col min="15632" max="15632" width="3.85546875" style="1" customWidth="1"/>
    <col min="15633" max="15633" width="12.42578125" style="1" customWidth="1"/>
    <col min="15634" max="15634" width="12.5703125" style="1" customWidth="1"/>
    <col min="15635" max="15635" width="12.7109375" style="1" bestFit="1" customWidth="1"/>
    <col min="15636" max="15638" width="6.85546875" style="1"/>
    <col min="15639" max="15639" width="10.140625" style="1" bestFit="1" customWidth="1"/>
    <col min="15640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7" width="11.42578125" style="1" customWidth="1"/>
    <col min="15878" max="15878" width="13.140625" style="1" customWidth="1"/>
    <col min="15879" max="15879" width="11.140625" style="1" customWidth="1"/>
    <col min="15880" max="15880" width="10.7109375" style="1" customWidth="1"/>
    <col min="15881" max="15881" width="9" style="1" customWidth="1"/>
    <col min="15882" max="15882" width="9.140625" style="1" customWidth="1"/>
    <col min="15883" max="15883" width="10" style="1" customWidth="1"/>
    <col min="15884" max="15884" width="1.7109375" style="1" customWidth="1"/>
    <col min="15885" max="15885" width="12.42578125" style="1" customWidth="1"/>
    <col min="15886" max="15886" width="2" style="1" customWidth="1"/>
    <col min="15887" max="15887" width="13.85546875" style="1" customWidth="1"/>
    <col min="15888" max="15888" width="3.85546875" style="1" customWidth="1"/>
    <col min="15889" max="15889" width="12.42578125" style="1" customWidth="1"/>
    <col min="15890" max="15890" width="12.5703125" style="1" customWidth="1"/>
    <col min="15891" max="15891" width="12.7109375" style="1" bestFit="1" customWidth="1"/>
    <col min="15892" max="15894" width="6.85546875" style="1"/>
    <col min="15895" max="15895" width="10.140625" style="1" bestFit="1" customWidth="1"/>
    <col min="15896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3" width="11.42578125" style="1" customWidth="1"/>
    <col min="16134" max="16134" width="13.140625" style="1" customWidth="1"/>
    <col min="16135" max="16135" width="11.140625" style="1" customWidth="1"/>
    <col min="16136" max="16136" width="10.7109375" style="1" customWidth="1"/>
    <col min="16137" max="16137" width="9" style="1" customWidth="1"/>
    <col min="16138" max="16138" width="9.140625" style="1" customWidth="1"/>
    <col min="16139" max="16139" width="10" style="1" customWidth="1"/>
    <col min="16140" max="16140" width="1.7109375" style="1" customWidth="1"/>
    <col min="16141" max="16141" width="12.42578125" style="1" customWidth="1"/>
    <col min="16142" max="16142" width="2" style="1" customWidth="1"/>
    <col min="16143" max="16143" width="13.85546875" style="1" customWidth="1"/>
    <col min="16144" max="16144" width="3.85546875" style="1" customWidth="1"/>
    <col min="16145" max="16145" width="12.42578125" style="1" customWidth="1"/>
    <col min="16146" max="16146" width="12.5703125" style="1" customWidth="1"/>
    <col min="16147" max="16147" width="12.7109375" style="1" bestFit="1" customWidth="1"/>
    <col min="16148" max="16150" width="6.85546875" style="1"/>
    <col min="16151" max="16151" width="10.140625" style="1" bestFit="1" customWidth="1"/>
    <col min="16152" max="16384" width="6.85546875" style="1"/>
  </cols>
  <sheetData>
    <row r="1" spans="1:23" ht="48" customHeight="1" x14ac:dyDescent="0.2">
      <c r="A1" s="95" t="s">
        <v>92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2">
        <f ca="1">YEAR(TODAY())-1</f>
        <v>2024</v>
      </c>
      <c r="Q1" s="1"/>
    </row>
    <row r="2" spans="1:23" ht="33" customHeight="1" x14ac:dyDescent="0.2">
      <c r="A2" s="3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8"/>
      <c r="L2" s="4"/>
      <c r="M2" s="5" t="s">
        <v>2</v>
      </c>
      <c r="Q2" s="6" t="s">
        <v>3</v>
      </c>
      <c r="R2" s="7" t="s">
        <v>4</v>
      </c>
    </row>
    <row r="3" spans="1:23" ht="81" customHeight="1" x14ac:dyDescent="0.2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3" t="s">
        <v>12</v>
      </c>
      <c r="I3" s="14" t="s">
        <v>13</v>
      </c>
      <c r="J3" s="13" t="s">
        <v>14</v>
      </c>
      <c r="K3" s="15" t="s">
        <v>15</v>
      </c>
      <c r="L3" s="16"/>
      <c r="M3" s="11" t="s">
        <v>16</v>
      </c>
      <c r="N3" s="17"/>
      <c r="O3" s="11" t="s">
        <v>17</v>
      </c>
      <c r="P3" s="18"/>
      <c r="Q3" s="19" t="s">
        <v>18</v>
      </c>
      <c r="R3" s="20" t="s">
        <v>19</v>
      </c>
      <c r="S3" s="65" t="s">
        <v>20</v>
      </c>
    </row>
    <row r="4" spans="1:23" ht="15" customHeight="1" x14ac:dyDescent="0.25">
      <c r="A4" s="22" t="s">
        <v>21</v>
      </c>
      <c r="B4" s="23">
        <v>971440</v>
      </c>
      <c r="C4" s="24"/>
      <c r="D4" s="25"/>
      <c r="E4" s="26">
        <v>6340</v>
      </c>
      <c r="F4" s="25"/>
      <c r="G4" s="27">
        <v>630</v>
      </c>
      <c r="H4" s="25">
        <v>15720</v>
      </c>
      <c r="I4" s="25"/>
      <c r="J4" s="25"/>
      <c r="K4" s="28">
        <v>315</v>
      </c>
      <c r="L4" s="25"/>
      <c r="M4" s="35">
        <v>54220</v>
      </c>
      <c r="N4" s="29"/>
      <c r="O4" s="56">
        <f t="shared" ref="O4:O35" si="0">SUM(B4:M4)</f>
        <v>1048665</v>
      </c>
      <c r="P4" s="18"/>
      <c r="Q4" s="31">
        <f>(S4-M4)</f>
        <v>51440</v>
      </c>
      <c r="R4" s="32"/>
      <c r="S4" s="32">
        <f>(6.94+98.72)*1000</f>
        <v>105660</v>
      </c>
      <c r="V4" s="1">
        <v>1000</v>
      </c>
    </row>
    <row r="5" spans="1:23" ht="15" customHeight="1" x14ac:dyDescent="0.25">
      <c r="A5" s="22" t="s">
        <v>22</v>
      </c>
      <c r="B5" s="23">
        <v>727550</v>
      </c>
      <c r="C5" s="24"/>
      <c r="D5" s="25"/>
      <c r="E5" s="26">
        <v>1278670</v>
      </c>
      <c r="F5" s="25"/>
      <c r="G5" s="27">
        <v>69240</v>
      </c>
      <c r="H5" s="25">
        <v>24800</v>
      </c>
      <c r="I5" s="25"/>
      <c r="J5" s="25"/>
      <c r="K5" s="28">
        <v>645</v>
      </c>
      <c r="L5" s="25"/>
      <c r="M5" s="28">
        <v>111910</v>
      </c>
      <c r="N5" s="29"/>
      <c r="O5" s="56">
        <f t="shared" si="0"/>
        <v>2212815</v>
      </c>
      <c r="P5" s="18"/>
      <c r="Q5" s="31">
        <f t="shared" ref="Q5:Q68" si="1">(S5-M5)</f>
        <v>268450</v>
      </c>
      <c r="R5" s="32"/>
      <c r="S5" s="32">
        <f>(15.62+364.74)*1000</f>
        <v>380360</v>
      </c>
    </row>
    <row r="6" spans="1:23" ht="15" customHeight="1" x14ac:dyDescent="0.25">
      <c r="A6" s="22" t="s">
        <v>23</v>
      </c>
      <c r="B6" s="23">
        <v>1574570</v>
      </c>
      <c r="C6" s="24"/>
      <c r="D6" s="25"/>
      <c r="E6" s="26"/>
      <c r="F6" s="25">
        <v>130690</v>
      </c>
      <c r="G6" s="27">
        <v>180110</v>
      </c>
      <c r="H6" s="25"/>
      <c r="I6" s="25"/>
      <c r="J6" s="25"/>
      <c r="K6" s="28">
        <v>2432</v>
      </c>
      <c r="L6" s="25"/>
      <c r="M6" s="28">
        <v>103110</v>
      </c>
      <c r="N6" s="29"/>
      <c r="O6" s="56">
        <f t="shared" si="0"/>
        <v>1990912</v>
      </c>
      <c r="P6" s="18"/>
      <c r="Q6" s="31">
        <f t="shared" si="1"/>
        <v>241989.99999999994</v>
      </c>
      <c r="R6" s="32"/>
      <c r="S6" s="32">
        <f>(5.2+339.9)*1000</f>
        <v>345099.99999999994</v>
      </c>
    </row>
    <row r="7" spans="1:23" ht="25.5" customHeight="1" x14ac:dyDescent="0.25">
      <c r="A7" s="22" t="s">
        <v>24</v>
      </c>
      <c r="B7" s="23">
        <v>1713420</v>
      </c>
      <c r="C7" s="24"/>
      <c r="D7" s="25"/>
      <c r="E7" s="26"/>
      <c r="F7" s="25">
        <v>267510</v>
      </c>
      <c r="G7" s="27">
        <v>36170</v>
      </c>
      <c r="H7" s="25"/>
      <c r="I7" s="25"/>
      <c r="J7" s="25"/>
      <c r="K7" s="28">
        <v>825</v>
      </c>
      <c r="L7" s="25"/>
      <c r="M7" s="28">
        <v>103920</v>
      </c>
      <c r="N7" s="29"/>
      <c r="O7" s="56">
        <f t="shared" si="0"/>
        <v>2121845</v>
      </c>
      <c r="P7" s="18"/>
      <c r="Q7" s="31">
        <f t="shared" si="1"/>
        <v>93650</v>
      </c>
      <c r="R7" s="32"/>
      <c r="S7" s="32">
        <v>197570</v>
      </c>
    </row>
    <row r="8" spans="1:23" ht="15" customHeight="1" x14ac:dyDescent="0.25">
      <c r="A8" s="22" t="s">
        <v>25</v>
      </c>
      <c r="B8" s="23">
        <v>39330</v>
      </c>
      <c r="C8" s="34"/>
      <c r="D8" s="25"/>
      <c r="E8" s="26"/>
      <c r="F8" s="25"/>
      <c r="G8" s="27"/>
      <c r="H8" s="25"/>
      <c r="I8" s="25"/>
      <c r="J8" s="25"/>
      <c r="K8" s="28">
        <v>0</v>
      </c>
      <c r="L8" s="25"/>
      <c r="M8" s="28">
        <v>0</v>
      </c>
      <c r="N8" s="29"/>
      <c r="O8" s="56">
        <f t="shared" si="0"/>
        <v>39330</v>
      </c>
      <c r="P8" s="18"/>
      <c r="Q8" s="31">
        <f t="shared" si="1"/>
        <v>0</v>
      </c>
      <c r="R8" s="32"/>
      <c r="S8" s="32">
        <v>0</v>
      </c>
    </row>
    <row r="9" spans="1:23" ht="15" customHeight="1" x14ac:dyDescent="0.25">
      <c r="A9" s="22" t="s">
        <v>26</v>
      </c>
      <c r="B9" s="23">
        <v>15156120</v>
      </c>
      <c r="C9" s="24">
        <v>4500</v>
      </c>
      <c r="D9" s="25"/>
      <c r="E9" s="26">
        <v>223620</v>
      </c>
      <c r="F9" s="25">
        <v>10723770</v>
      </c>
      <c r="G9" s="27">
        <v>147950</v>
      </c>
      <c r="H9" s="25">
        <v>310070</v>
      </c>
      <c r="I9" s="25">
        <v>93780</v>
      </c>
      <c r="J9" s="25">
        <v>4660</v>
      </c>
      <c r="K9" s="28">
        <v>0</v>
      </c>
      <c r="L9" s="25"/>
      <c r="M9" s="28">
        <v>23270</v>
      </c>
      <c r="N9" s="29"/>
      <c r="O9" s="56">
        <f t="shared" si="0"/>
        <v>26687740</v>
      </c>
      <c r="P9" s="18"/>
      <c r="Q9" s="31">
        <f t="shared" si="1"/>
        <v>2475110</v>
      </c>
      <c r="R9" s="32"/>
      <c r="S9" s="32">
        <v>2498380</v>
      </c>
    </row>
    <row r="10" spans="1:23" ht="15" customHeight="1" x14ac:dyDescent="0.25">
      <c r="A10" s="22" t="s">
        <v>27</v>
      </c>
      <c r="B10" s="23">
        <v>1194390</v>
      </c>
      <c r="C10" s="24"/>
      <c r="D10" s="25"/>
      <c r="E10" s="26">
        <v>718090</v>
      </c>
      <c r="F10" s="25">
        <v>263790</v>
      </c>
      <c r="G10" s="27">
        <v>95400</v>
      </c>
      <c r="H10" s="25"/>
      <c r="I10" s="25"/>
      <c r="J10" s="25"/>
      <c r="K10" s="28">
        <v>801</v>
      </c>
      <c r="L10" s="25"/>
      <c r="M10" s="35">
        <v>165500</v>
      </c>
      <c r="N10" s="29"/>
      <c r="O10" s="56">
        <f t="shared" si="0"/>
        <v>2437971</v>
      </c>
      <c r="P10" s="18"/>
      <c r="Q10" s="31">
        <f t="shared" si="1"/>
        <v>143940</v>
      </c>
      <c r="R10" s="32"/>
      <c r="S10" s="32">
        <f>(305.28+4.16)*1000</f>
        <v>309440</v>
      </c>
    </row>
    <row r="11" spans="1:23" ht="15" customHeight="1" x14ac:dyDescent="0.25">
      <c r="A11" s="22" t="s">
        <v>28</v>
      </c>
      <c r="B11" s="23">
        <v>62330</v>
      </c>
      <c r="C11" s="24"/>
      <c r="D11" s="25"/>
      <c r="E11" s="26">
        <v>513090</v>
      </c>
      <c r="F11" s="25"/>
      <c r="G11" s="27"/>
      <c r="H11" s="25"/>
      <c r="I11" s="25"/>
      <c r="J11" s="25"/>
      <c r="K11" s="28">
        <v>0</v>
      </c>
      <c r="L11" s="25"/>
      <c r="M11" s="35">
        <v>14900</v>
      </c>
      <c r="N11" s="29"/>
      <c r="O11" s="56">
        <f t="shared" si="0"/>
        <v>590320</v>
      </c>
      <c r="P11" s="18"/>
      <c r="Q11" s="31">
        <f t="shared" si="1"/>
        <v>12880</v>
      </c>
      <c r="R11" s="32"/>
      <c r="S11" s="32">
        <f>(19.68+8.1)*1000</f>
        <v>27780</v>
      </c>
    </row>
    <row r="12" spans="1:23" ht="15" customHeight="1" x14ac:dyDescent="0.25">
      <c r="A12" s="22" t="s">
        <v>29</v>
      </c>
      <c r="B12" s="23">
        <v>1073650</v>
      </c>
      <c r="C12" s="24">
        <v>594140</v>
      </c>
      <c r="D12" s="25"/>
      <c r="E12" s="26">
        <v>20870</v>
      </c>
      <c r="F12" s="25"/>
      <c r="G12" s="27"/>
      <c r="H12" s="25">
        <v>73770</v>
      </c>
      <c r="I12" s="25"/>
      <c r="J12" s="25"/>
      <c r="K12" s="28">
        <v>795</v>
      </c>
      <c r="L12" s="25"/>
      <c r="M12" s="28">
        <v>112690</v>
      </c>
      <c r="N12" s="29"/>
      <c r="O12" s="56">
        <f t="shared" si="0"/>
        <v>1875915</v>
      </c>
      <c r="P12" s="18"/>
      <c r="Q12" s="31">
        <f t="shared" si="1"/>
        <v>101560</v>
      </c>
      <c r="R12" s="32"/>
      <c r="S12" s="32">
        <v>214250</v>
      </c>
    </row>
    <row r="13" spans="1:23" ht="24" customHeight="1" x14ac:dyDescent="0.25">
      <c r="A13" s="22" t="s">
        <v>30</v>
      </c>
      <c r="B13" s="23">
        <v>2379900</v>
      </c>
      <c r="C13" s="24"/>
      <c r="D13" s="25"/>
      <c r="E13" s="26"/>
      <c r="F13" s="25">
        <v>566120</v>
      </c>
      <c r="G13" s="27">
        <v>37460</v>
      </c>
      <c r="H13" s="25">
        <v>36440</v>
      </c>
      <c r="I13" s="25"/>
      <c r="J13" s="25"/>
      <c r="K13" s="28">
        <v>189</v>
      </c>
      <c r="L13" s="25"/>
      <c r="M13" s="28">
        <v>155130</v>
      </c>
      <c r="N13" s="29"/>
      <c r="O13" s="56">
        <f t="shared" si="0"/>
        <v>3175239</v>
      </c>
      <c r="P13" s="18"/>
      <c r="Q13" s="31">
        <f t="shared" si="1"/>
        <v>359529.99999999994</v>
      </c>
      <c r="R13" s="32"/>
      <c r="S13" s="32">
        <v>514659.99999999994</v>
      </c>
    </row>
    <row r="14" spans="1:23" ht="22.5" customHeight="1" x14ac:dyDescent="0.25">
      <c r="A14" s="22" t="s">
        <v>31</v>
      </c>
      <c r="B14" s="23">
        <v>1483120</v>
      </c>
      <c r="C14" s="24"/>
      <c r="D14" s="25"/>
      <c r="E14" s="26"/>
      <c r="F14" s="25"/>
      <c r="G14" s="27"/>
      <c r="H14" s="25">
        <v>9040</v>
      </c>
      <c r="I14" s="25"/>
      <c r="J14" s="25"/>
      <c r="K14" s="28">
        <v>451</v>
      </c>
      <c r="L14" s="25"/>
      <c r="M14" s="35">
        <v>23790</v>
      </c>
      <c r="N14" s="29"/>
      <c r="O14" s="56">
        <f t="shared" si="0"/>
        <v>1516401</v>
      </c>
      <c r="P14" s="18"/>
      <c r="Q14" s="31">
        <f t="shared" si="1"/>
        <v>20230</v>
      </c>
      <c r="R14" s="32"/>
      <c r="S14" s="32">
        <v>44020</v>
      </c>
    </row>
    <row r="15" spans="1:23" ht="21" customHeight="1" x14ac:dyDescent="0.25">
      <c r="A15" s="22" t="s">
        <v>32</v>
      </c>
      <c r="B15" s="23">
        <v>4094950</v>
      </c>
      <c r="C15" s="24">
        <v>363920</v>
      </c>
      <c r="D15" s="25">
        <v>330820</v>
      </c>
      <c r="E15" s="26"/>
      <c r="F15" s="25">
        <v>216910</v>
      </c>
      <c r="G15" s="27">
        <v>4460</v>
      </c>
      <c r="H15" s="25">
        <v>42160</v>
      </c>
      <c r="I15" s="25"/>
      <c r="J15" s="25"/>
      <c r="K15" s="28">
        <v>497</v>
      </c>
      <c r="L15" s="25"/>
      <c r="M15" s="28">
        <v>171220</v>
      </c>
      <c r="N15" s="29"/>
      <c r="O15" s="56">
        <f t="shared" si="0"/>
        <v>5224937</v>
      </c>
      <c r="P15" s="18"/>
      <c r="Q15" s="31">
        <f t="shared" si="1"/>
        <v>154320</v>
      </c>
      <c r="R15" s="32"/>
      <c r="S15" s="32">
        <v>325540</v>
      </c>
    </row>
    <row r="16" spans="1:23" ht="30" customHeight="1" x14ac:dyDescent="0.25">
      <c r="A16" s="22" t="s">
        <v>33</v>
      </c>
      <c r="B16" s="23">
        <v>2225030</v>
      </c>
      <c r="C16" s="24"/>
      <c r="D16" s="25"/>
      <c r="E16" s="26"/>
      <c r="F16" s="25"/>
      <c r="G16" s="27"/>
      <c r="H16" s="25"/>
      <c r="I16" s="25"/>
      <c r="J16" s="25"/>
      <c r="K16" s="28">
        <v>896</v>
      </c>
      <c r="L16" s="25"/>
      <c r="M16" s="28">
        <v>114140</v>
      </c>
      <c r="N16" s="29"/>
      <c r="O16" s="56">
        <f t="shared" si="0"/>
        <v>2340066</v>
      </c>
      <c r="P16" s="18"/>
      <c r="Q16" s="31">
        <f t="shared" si="1"/>
        <v>264540</v>
      </c>
      <c r="R16" s="32"/>
      <c r="S16" s="32">
        <v>378680</v>
      </c>
      <c r="W16" s="35"/>
    </row>
    <row r="17" spans="1:19" ht="15" customHeight="1" x14ac:dyDescent="0.25">
      <c r="A17" s="22" t="s">
        <v>34</v>
      </c>
      <c r="B17" s="23">
        <v>836180</v>
      </c>
      <c r="C17" s="24"/>
      <c r="D17" s="25"/>
      <c r="E17" s="26"/>
      <c r="F17" s="25"/>
      <c r="G17" s="27">
        <v>54480</v>
      </c>
      <c r="H17" s="25">
        <v>6410</v>
      </c>
      <c r="I17" s="25">
        <v>22270</v>
      </c>
      <c r="J17" s="25">
        <v>171030</v>
      </c>
      <c r="K17" s="28">
        <v>621</v>
      </c>
      <c r="L17" s="25"/>
      <c r="M17" s="28">
        <v>0</v>
      </c>
      <c r="N17" s="29"/>
      <c r="O17" s="56">
        <f t="shared" si="0"/>
        <v>1090991</v>
      </c>
      <c r="P17" s="18"/>
      <c r="Q17" s="31">
        <f t="shared" si="1"/>
        <v>0</v>
      </c>
      <c r="R17" s="32"/>
      <c r="S17" s="32">
        <v>0</v>
      </c>
    </row>
    <row r="18" spans="1:19" ht="15" customHeight="1" x14ac:dyDescent="0.25">
      <c r="A18" s="22" t="s">
        <v>35</v>
      </c>
      <c r="B18" s="23">
        <v>1667180</v>
      </c>
      <c r="C18" s="24"/>
      <c r="D18" s="25"/>
      <c r="E18" s="26"/>
      <c r="F18" s="25">
        <v>4070</v>
      </c>
      <c r="G18" s="27">
        <v>96820</v>
      </c>
      <c r="H18" s="25">
        <v>24150</v>
      </c>
      <c r="I18" s="25">
        <v>5740</v>
      </c>
      <c r="J18" s="25"/>
      <c r="K18" s="28">
        <v>0</v>
      </c>
      <c r="L18" s="25"/>
      <c r="M18" s="28">
        <v>0</v>
      </c>
      <c r="N18" s="29"/>
      <c r="O18" s="56">
        <f t="shared" si="0"/>
        <v>1797960</v>
      </c>
      <c r="P18" s="18"/>
      <c r="Q18" s="31">
        <f t="shared" si="1"/>
        <v>0</v>
      </c>
      <c r="R18" s="32"/>
      <c r="S18" s="32">
        <v>0</v>
      </c>
    </row>
    <row r="19" spans="1:19" ht="15" customHeight="1" x14ac:dyDescent="0.25">
      <c r="A19" s="22" t="s">
        <v>36</v>
      </c>
      <c r="B19" s="23">
        <v>1393460</v>
      </c>
      <c r="C19" s="24"/>
      <c r="D19" s="25"/>
      <c r="E19" s="26"/>
      <c r="F19" s="25">
        <v>201870</v>
      </c>
      <c r="G19" s="27">
        <v>30030</v>
      </c>
      <c r="H19" s="25"/>
      <c r="I19" s="25"/>
      <c r="J19" s="25"/>
      <c r="K19" s="28">
        <v>0</v>
      </c>
      <c r="L19" s="25"/>
      <c r="M19" s="28">
        <v>99910</v>
      </c>
      <c r="N19" s="29"/>
      <c r="O19" s="56">
        <f t="shared" si="0"/>
        <v>1725270</v>
      </c>
      <c r="P19" s="18"/>
      <c r="Q19" s="31">
        <f t="shared" si="1"/>
        <v>90050</v>
      </c>
      <c r="R19" s="32"/>
      <c r="S19" s="32">
        <v>189960</v>
      </c>
    </row>
    <row r="20" spans="1:19" ht="15" customHeight="1" x14ac:dyDescent="0.25">
      <c r="A20" s="22" t="s">
        <v>37</v>
      </c>
      <c r="B20" s="23">
        <v>3386870</v>
      </c>
      <c r="C20" s="24">
        <v>0</v>
      </c>
      <c r="D20" s="25">
        <v>0</v>
      </c>
      <c r="E20" s="26"/>
      <c r="F20" s="25"/>
      <c r="G20" s="27">
        <v>86080</v>
      </c>
      <c r="H20" s="25">
        <v>19980</v>
      </c>
      <c r="I20" s="25"/>
      <c r="J20" s="25"/>
      <c r="K20" s="28">
        <v>547</v>
      </c>
      <c r="L20" s="25"/>
      <c r="M20" s="28">
        <v>217160</v>
      </c>
      <c r="N20" s="29"/>
      <c r="O20" s="56">
        <f t="shared" si="0"/>
        <v>3710637</v>
      </c>
      <c r="P20" s="18"/>
      <c r="Q20" s="31">
        <f t="shared" si="1"/>
        <v>509920</v>
      </c>
      <c r="R20" s="32"/>
      <c r="S20" s="32">
        <f>(715.7+11.38)*1000</f>
        <v>727080</v>
      </c>
    </row>
    <row r="21" spans="1:19" ht="15" customHeight="1" x14ac:dyDescent="0.25">
      <c r="A21" s="22" t="s">
        <v>38</v>
      </c>
      <c r="B21" s="23">
        <v>406310</v>
      </c>
      <c r="C21" s="24"/>
      <c r="D21" s="25"/>
      <c r="E21" s="26">
        <v>631100</v>
      </c>
      <c r="F21" s="25"/>
      <c r="G21" s="27">
        <v>19390</v>
      </c>
      <c r="H21" s="25">
        <v>5670</v>
      </c>
      <c r="I21" s="25"/>
      <c r="J21" s="25"/>
      <c r="K21" s="28">
        <v>0</v>
      </c>
      <c r="L21" s="25"/>
      <c r="M21" s="28">
        <v>23410</v>
      </c>
      <c r="N21" s="29"/>
      <c r="O21" s="56">
        <f t="shared" si="0"/>
        <v>1085880</v>
      </c>
      <c r="P21" s="18"/>
      <c r="Q21" s="31">
        <f t="shared" si="1"/>
        <v>54270</v>
      </c>
      <c r="R21" s="32"/>
      <c r="S21" s="32">
        <v>77680</v>
      </c>
    </row>
    <row r="22" spans="1:19" ht="20.25" customHeight="1" x14ac:dyDescent="0.25">
      <c r="A22" s="22" t="s">
        <v>39</v>
      </c>
      <c r="B22" s="23">
        <v>1868160</v>
      </c>
      <c r="C22" s="24">
        <v>523390</v>
      </c>
      <c r="D22" s="25"/>
      <c r="E22" s="26"/>
      <c r="F22" s="25"/>
      <c r="G22" s="27">
        <v>442340</v>
      </c>
      <c r="H22" s="25"/>
      <c r="I22" s="25"/>
      <c r="J22" s="25"/>
      <c r="K22" s="28">
        <v>0</v>
      </c>
      <c r="L22" s="25"/>
      <c r="M22" s="28">
        <v>0</v>
      </c>
      <c r="N22" s="29"/>
      <c r="O22" s="56">
        <f t="shared" si="0"/>
        <v>2833890</v>
      </c>
      <c r="P22" s="18"/>
      <c r="Q22" s="31">
        <f t="shared" si="1"/>
        <v>0</v>
      </c>
      <c r="R22" s="32"/>
      <c r="S22" s="32">
        <v>0</v>
      </c>
    </row>
    <row r="23" spans="1:19" ht="15" customHeight="1" x14ac:dyDescent="0.25">
      <c r="A23" s="22" t="s">
        <v>40</v>
      </c>
      <c r="B23" s="23">
        <v>1368740</v>
      </c>
      <c r="C23" s="24"/>
      <c r="D23" s="25"/>
      <c r="E23" s="26"/>
      <c r="F23" s="25">
        <v>8770</v>
      </c>
      <c r="G23" s="27"/>
      <c r="H23" s="25"/>
      <c r="I23" s="25"/>
      <c r="J23" s="25"/>
      <c r="K23" s="28">
        <v>852</v>
      </c>
      <c r="L23" s="25"/>
      <c r="M23" s="35">
        <v>106210</v>
      </c>
      <c r="N23" s="29"/>
      <c r="O23" s="56">
        <f t="shared" si="0"/>
        <v>1484572</v>
      </c>
      <c r="P23" s="18"/>
      <c r="Q23" s="31">
        <f t="shared" si="1"/>
        <v>90330</v>
      </c>
      <c r="R23" s="32"/>
      <c r="S23" s="32">
        <v>196540</v>
      </c>
    </row>
    <row r="24" spans="1:19" ht="25.5" customHeight="1" x14ac:dyDescent="0.25">
      <c r="A24" s="22" t="s">
        <v>41</v>
      </c>
      <c r="B24" s="23">
        <v>1411730</v>
      </c>
      <c r="C24" s="24"/>
      <c r="D24" s="25">
        <v>97480</v>
      </c>
      <c r="E24" s="26">
        <v>167290</v>
      </c>
      <c r="F24" s="25">
        <v>27680</v>
      </c>
      <c r="G24" s="27">
        <v>65340</v>
      </c>
      <c r="H24" s="25">
        <v>22620</v>
      </c>
      <c r="I24" s="25"/>
      <c r="J24" s="25"/>
      <c r="K24" s="28">
        <v>730</v>
      </c>
      <c r="L24" s="25"/>
      <c r="M24" s="28">
        <v>83010</v>
      </c>
      <c r="N24" s="29"/>
      <c r="O24" s="56">
        <f t="shared" si="0"/>
        <v>1875880</v>
      </c>
      <c r="P24" s="18"/>
      <c r="Q24" s="31">
        <f t="shared" si="1"/>
        <v>192390</v>
      </c>
      <c r="R24" s="32"/>
      <c r="S24" s="32">
        <v>275400</v>
      </c>
    </row>
    <row r="25" spans="1:19" ht="15" customHeight="1" x14ac:dyDescent="0.25">
      <c r="A25" s="36" t="s">
        <v>42</v>
      </c>
      <c r="B25" s="23">
        <v>1881800</v>
      </c>
      <c r="C25" s="24"/>
      <c r="D25" s="25"/>
      <c r="E25" s="26"/>
      <c r="F25" s="25"/>
      <c r="G25" s="27"/>
      <c r="H25" s="25"/>
      <c r="I25" s="25"/>
      <c r="J25" s="25"/>
      <c r="K25" s="28">
        <v>315</v>
      </c>
      <c r="L25" s="25"/>
      <c r="M25" s="28">
        <v>61970</v>
      </c>
      <c r="N25" s="29"/>
      <c r="O25" s="56">
        <f t="shared" si="0"/>
        <v>1944085</v>
      </c>
      <c r="P25" s="18"/>
      <c r="Q25" s="31">
        <f t="shared" si="1"/>
        <v>161790</v>
      </c>
      <c r="R25" s="32"/>
      <c r="S25" s="32">
        <f>(31.22+192.54)*1000</f>
        <v>223760</v>
      </c>
    </row>
    <row r="26" spans="1:19" ht="15" customHeight="1" x14ac:dyDescent="0.25">
      <c r="A26" s="22" t="s">
        <v>43</v>
      </c>
      <c r="B26" s="23">
        <v>2270310</v>
      </c>
      <c r="C26" s="24"/>
      <c r="D26" s="25"/>
      <c r="E26" s="26"/>
      <c r="F26" s="25"/>
      <c r="G26" s="27">
        <v>7130</v>
      </c>
      <c r="H26" s="25">
        <v>16970</v>
      </c>
      <c r="I26" s="25"/>
      <c r="J26" s="25"/>
      <c r="K26" s="28">
        <v>524</v>
      </c>
      <c r="L26" s="25"/>
      <c r="M26" s="28">
        <v>115480</v>
      </c>
      <c r="N26" s="29"/>
      <c r="O26" s="56">
        <f t="shared" si="0"/>
        <v>2410414</v>
      </c>
      <c r="P26" s="18"/>
      <c r="Q26" s="31">
        <f t="shared" si="1"/>
        <v>104080</v>
      </c>
      <c r="R26" s="32"/>
      <c r="S26" s="32">
        <v>219560</v>
      </c>
    </row>
    <row r="27" spans="1:19" ht="15" customHeight="1" x14ac:dyDescent="0.25">
      <c r="A27" s="22" t="s">
        <v>44</v>
      </c>
      <c r="B27" s="23">
        <v>1482070</v>
      </c>
      <c r="C27" s="24"/>
      <c r="D27" s="25"/>
      <c r="E27" s="26"/>
      <c r="F27" s="25"/>
      <c r="G27" s="27"/>
      <c r="H27" s="25">
        <v>13210</v>
      </c>
      <c r="I27" s="25"/>
      <c r="J27" s="25">
        <v>225240</v>
      </c>
      <c r="K27" s="28">
        <v>668</v>
      </c>
      <c r="L27" s="25"/>
      <c r="M27" s="28">
        <v>11160</v>
      </c>
      <c r="N27" s="29"/>
      <c r="O27" s="56">
        <f t="shared" si="0"/>
        <v>1732348</v>
      </c>
      <c r="P27" s="18"/>
      <c r="Q27" s="31">
        <f t="shared" si="1"/>
        <v>10060</v>
      </c>
      <c r="R27" s="32"/>
      <c r="S27" s="32">
        <v>21220</v>
      </c>
    </row>
    <row r="28" spans="1:19" ht="15" customHeight="1" x14ac:dyDescent="0.25">
      <c r="A28" s="22" t="s">
        <v>45</v>
      </c>
      <c r="B28" s="23">
        <v>2218390</v>
      </c>
      <c r="C28" s="24"/>
      <c r="D28" s="25"/>
      <c r="E28" s="26"/>
      <c r="F28" s="25">
        <v>482380</v>
      </c>
      <c r="G28" s="27">
        <v>64290</v>
      </c>
      <c r="H28" s="25">
        <v>27590</v>
      </c>
      <c r="I28" s="25"/>
      <c r="J28" s="25"/>
      <c r="K28" s="28">
        <v>630</v>
      </c>
      <c r="L28" s="25"/>
      <c r="M28" s="28">
        <v>121000</v>
      </c>
      <c r="N28" s="29"/>
      <c r="O28" s="56">
        <f t="shared" si="0"/>
        <v>2914280</v>
      </c>
      <c r="P28" s="18"/>
      <c r="Q28" s="31">
        <f t="shared" si="1"/>
        <v>109060</v>
      </c>
      <c r="R28" s="32"/>
      <c r="S28" s="32">
        <v>230060</v>
      </c>
    </row>
    <row r="29" spans="1:19" ht="15" customHeight="1" x14ac:dyDescent="0.25">
      <c r="A29" s="22" t="s">
        <v>46</v>
      </c>
      <c r="B29" s="23">
        <v>812840</v>
      </c>
      <c r="C29" s="24"/>
      <c r="D29" s="25"/>
      <c r="E29" s="26"/>
      <c r="F29" s="25"/>
      <c r="G29" s="27">
        <v>23010</v>
      </c>
      <c r="H29" s="25">
        <v>2010</v>
      </c>
      <c r="I29" s="25"/>
      <c r="J29" s="25"/>
      <c r="K29" s="28">
        <v>416</v>
      </c>
      <c r="L29" s="25"/>
      <c r="M29" s="28">
        <v>48950</v>
      </c>
      <c r="N29" s="29"/>
      <c r="O29" s="56">
        <f t="shared" si="0"/>
        <v>887226</v>
      </c>
      <c r="P29" s="18"/>
      <c r="Q29" s="31">
        <f t="shared" si="1"/>
        <v>44120</v>
      </c>
      <c r="R29" s="32"/>
      <c r="S29" s="32">
        <v>93070</v>
      </c>
    </row>
    <row r="30" spans="1:19" ht="15" customHeight="1" x14ac:dyDescent="0.25">
      <c r="A30" s="22" t="s">
        <v>47</v>
      </c>
      <c r="B30" s="23">
        <v>1104720</v>
      </c>
      <c r="C30" s="24"/>
      <c r="D30" s="25"/>
      <c r="E30" s="26">
        <v>1758370</v>
      </c>
      <c r="F30" s="25">
        <v>286640</v>
      </c>
      <c r="G30" s="27">
        <v>93210</v>
      </c>
      <c r="H30" s="25">
        <v>31810</v>
      </c>
      <c r="I30" s="25"/>
      <c r="J30" s="25">
        <v>94770</v>
      </c>
      <c r="K30" s="28">
        <v>389</v>
      </c>
      <c r="L30" s="25"/>
      <c r="M30" s="28">
        <v>146250</v>
      </c>
      <c r="N30" s="29"/>
      <c r="O30" s="56">
        <f t="shared" si="0"/>
        <v>3516159</v>
      </c>
      <c r="P30" s="18"/>
      <c r="Q30" s="31">
        <f t="shared" si="1"/>
        <v>180490</v>
      </c>
      <c r="R30" s="32"/>
      <c r="S30" s="32">
        <f>(212.7+114.04)*1000</f>
        <v>326740</v>
      </c>
    </row>
    <row r="31" spans="1:19" ht="25.5" customHeight="1" x14ac:dyDescent="0.25">
      <c r="A31" s="22" t="s">
        <v>48</v>
      </c>
      <c r="B31" s="23">
        <v>957960</v>
      </c>
      <c r="C31" s="24"/>
      <c r="D31" s="25"/>
      <c r="E31" s="26">
        <v>1561910</v>
      </c>
      <c r="F31" s="25">
        <v>175690</v>
      </c>
      <c r="G31" s="27">
        <v>29310</v>
      </c>
      <c r="H31" s="25">
        <v>28220</v>
      </c>
      <c r="I31" s="25">
        <v>5560</v>
      </c>
      <c r="J31" s="25"/>
      <c r="K31" s="28">
        <v>492</v>
      </c>
      <c r="L31" s="25"/>
      <c r="M31" s="28">
        <v>174240</v>
      </c>
      <c r="N31" s="29"/>
      <c r="O31" s="56">
        <f t="shared" si="0"/>
        <v>2933382</v>
      </c>
      <c r="P31" s="18"/>
      <c r="Q31" s="31">
        <f t="shared" si="1"/>
        <v>154930</v>
      </c>
      <c r="R31" s="32"/>
      <c r="S31" s="32">
        <f>(76.36+252.81)*1000</f>
        <v>329170</v>
      </c>
    </row>
    <row r="32" spans="1:19" ht="15" customHeight="1" x14ac:dyDescent="0.25">
      <c r="A32" s="22" t="s">
        <v>49</v>
      </c>
      <c r="B32" s="23">
        <v>4260820</v>
      </c>
      <c r="C32" s="24"/>
      <c r="D32" s="25"/>
      <c r="E32" s="26"/>
      <c r="F32" s="25"/>
      <c r="G32" s="27">
        <v>19040</v>
      </c>
      <c r="H32" s="25">
        <v>22090</v>
      </c>
      <c r="I32" s="25"/>
      <c r="J32" s="25"/>
      <c r="K32" s="28">
        <v>489</v>
      </c>
      <c r="L32" s="25"/>
      <c r="M32" s="28">
        <v>84940</v>
      </c>
      <c r="N32" s="29"/>
      <c r="O32" s="56">
        <f t="shared" si="0"/>
        <v>4387379</v>
      </c>
      <c r="P32" s="18"/>
      <c r="Q32" s="31">
        <f t="shared" si="1"/>
        <v>237979.99999999994</v>
      </c>
      <c r="R32" s="32"/>
      <c r="S32" s="32">
        <f>(70.6+252.32)*1000</f>
        <v>322919.99999999994</v>
      </c>
    </row>
    <row r="33" spans="1:19" ht="15" customHeight="1" x14ac:dyDescent="0.25">
      <c r="A33" s="22" t="s">
        <v>50</v>
      </c>
      <c r="B33" s="23">
        <v>626940</v>
      </c>
      <c r="C33" s="24"/>
      <c r="D33" s="25"/>
      <c r="E33" s="26">
        <v>1118340</v>
      </c>
      <c r="F33" s="25"/>
      <c r="G33" s="27"/>
      <c r="H33" s="25"/>
      <c r="I33" s="25"/>
      <c r="J33" s="25"/>
      <c r="K33" s="28">
        <v>0</v>
      </c>
      <c r="L33" s="25"/>
      <c r="M33" s="28">
        <v>57250</v>
      </c>
      <c r="N33" s="29"/>
      <c r="O33" s="56">
        <f t="shared" si="0"/>
        <v>1802530</v>
      </c>
      <c r="P33" s="18"/>
      <c r="Q33" s="31">
        <f t="shared" si="1"/>
        <v>48690</v>
      </c>
      <c r="R33" s="32"/>
      <c r="S33" s="32">
        <v>105940</v>
      </c>
    </row>
    <row r="34" spans="1:19" ht="15" customHeight="1" x14ac:dyDescent="0.25">
      <c r="A34" s="22" t="s">
        <v>51</v>
      </c>
      <c r="B34" s="23">
        <v>1572440</v>
      </c>
      <c r="C34" s="24"/>
      <c r="D34" s="25"/>
      <c r="E34" s="26"/>
      <c r="F34" s="25"/>
      <c r="G34" s="27"/>
      <c r="H34" s="25">
        <v>19460</v>
      </c>
      <c r="I34" s="25"/>
      <c r="J34" s="25"/>
      <c r="K34" s="28">
        <v>0</v>
      </c>
      <c r="L34" s="25"/>
      <c r="M34" s="28">
        <v>74220</v>
      </c>
      <c r="N34" s="34"/>
      <c r="O34" s="56">
        <f t="shared" si="0"/>
        <v>1666120</v>
      </c>
      <c r="P34" s="18"/>
      <c r="Q34" s="31">
        <f t="shared" si="1"/>
        <v>172000</v>
      </c>
      <c r="R34" s="32"/>
      <c r="S34" s="32">
        <v>246220</v>
      </c>
    </row>
    <row r="35" spans="1:19" ht="15" customHeight="1" x14ac:dyDescent="0.25">
      <c r="A35" s="22" t="s">
        <v>52</v>
      </c>
      <c r="B35" s="23">
        <v>134660</v>
      </c>
      <c r="C35" s="24"/>
      <c r="D35" s="25"/>
      <c r="E35" s="26"/>
      <c r="F35" s="25"/>
      <c r="G35" s="27"/>
      <c r="H35" s="25"/>
      <c r="I35" s="25"/>
      <c r="J35" s="25"/>
      <c r="K35" s="28">
        <v>0</v>
      </c>
      <c r="L35" s="25"/>
      <c r="M35" s="28">
        <v>17890</v>
      </c>
      <c r="N35" s="34"/>
      <c r="O35" s="56">
        <f t="shared" si="0"/>
        <v>152550</v>
      </c>
      <c r="P35" s="18"/>
      <c r="Q35" s="31">
        <f t="shared" si="1"/>
        <v>16120</v>
      </c>
      <c r="R35" s="32"/>
      <c r="S35" s="32">
        <v>34010</v>
      </c>
    </row>
    <row r="36" spans="1:19" ht="15" customHeight="1" x14ac:dyDescent="0.25">
      <c r="A36" s="22" t="s">
        <v>53</v>
      </c>
      <c r="B36" s="23">
        <v>1155760</v>
      </c>
      <c r="C36" s="24"/>
      <c r="D36" s="25"/>
      <c r="E36" s="26"/>
      <c r="F36" s="25">
        <v>4940</v>
      </c>
      <c r="G36" s="27"/>
      <c r="H36" s="25"/>
      <c r="I36" s="25"/>
      <c r="J36" s="25"/>
      <c r="K36" s="28">
        <v>0</v>
      </c>
      <c r="L36" s="25"/>
      <c r="M36" s="28">
        <v>19950</v>
      </c>
      <c r="N36" s="34"/>
      <c r="O36" s="56">
        <f>SUM(B36:M36)</f>
        <v>1180650</v>
      </c>
      <c r="P36" s="18"/>
      <c r="Q36" s="31">
        <f t="shared" si="1"/>
        <v>46230</v>
      </c>
      <c r="R36" s="32"/>
      <c r="S36" s="32">
        <v>66180</v>
      </c>
    </row>
    <row r="37" spans="1:19" ht="25.5" customHeight="1" x14ac:dyDescent="0.25">
      <c r="A37" s="22" t="s">
        <v>54</v>
      </c>
      <c r="B37" s="23">
        <v>920110</v>
      </c>
      <c r="C37" s="24"/>
      <c r="D37" s="25"/>
      <c r="E37" s="26"/>
      <c r="F37" s="25"/>
      <c r="G37" s="27"/>
      <c r="H37" s="25"/>
      <c r="I37" s="25"/>
      <c r="J37" s="25"/>
      <c r="K37" s="28">
        <v>0</v>
      </c>
      <c r="L37" s="25"/>
      <c r="M37" s="28">
        <v>83890</v>
      </c>
      <c r="N37" s="34"/>
      <c r="O37" s="56">
        <f t="shared" ref="O37:O69" si="2">SUM(B37:M37)</f>
        <v>1004000</v>
      </c>
      <c r="P37" s="18"/>
      <c r="Q37" s="31">
        <f t="shared" si="1"/>
        <v>75600</v>
      </c>
      <c r="R37" s="32"/>
      <c r="S37" s="32">
        <v>159490</v>
      </c>
    </row>
    <row r="38" spans="1:19" ht="12.75" customHeight="1" x14ac:dyDescent="0.25">
      <c r="A38" s="22" t="s">
        <v>55</v>
      </c>
      <c r="B38" s="23">
        <v>692640</v>
      </c>
      <c r="C38" s="24"/>
      <c r="D38" s="25"/>
      <c r="E38" s="26"/>
      <c r="F38" s="25"/>
      <c r="G38" s="27">
        <v>13530</v>
      </c>
      <c r="H38" s="25"/>
      <c r="I38" s="25"/>
      <c r="J38" s="25"/>
      <c r="K38" s="28">
        <v>154</v>
      </c>
      <c r="L38" s="25"/>
      <c r="M38" s="28">
        <v>16010</v>
      </c>
      <c r="N38" s="34"/>
      <c r="O38" s="56">
        <f t="shared" si="2"/>
        <v>722334</v>
      </c>
      <c r="P38" s="18"/>
      <c r="Q38" s="31">
        <f t="shared" si="1"/>
        <v>13610</v>
      </c>
      <c r="R38" s="32"/>
      <c r="S38" s="32">
        <v>29620</v>
      </c>
    </row>
    <row r="39" spans="1:19" ht="16.5" customHeight="1" x14ac:dyDescent="0.25">
      <c r="A39" s="22" t="s">
        <v>56</v>
      </c>
      <c r="B39" s="23">
        <v>1282000</v>
      </c>
      <c r="C39" s="24"/>
      <c r="D39" s="25">
        <v>147710</v>
      </c>
      <c r="E39" s="26"/>
      <c r="F39" s="25"/>
      <c r="G39" s="27"/>
      <c r="H39" s="25">
        <v>7940</v>
      </c>
      <c r="I39" s="25"/>
      <c r="J39" s="25"/>
      <c r="K39" s="28">
        <v>0</v>
      </c>
      <c r="L39" s="25"/>
      <c r="M39" s="28">
        <v>24990</v>
      </c>
      <c r="N39" s="34"/>
      <c r="O39" s="56">
        <f t="shared" si="2"/>
        <v>1462640</v>
      </c>
      <c r="P39" s="18"/>
      <c r="Q39" s="31">
        <f t="shared" si="1"/>
        <v>57930</v>
      </c>
      <c r="R39" s="32"/>
      <c r="S39" s="32">
        <v>82920</v>
      </c>
    </row>
    <row r="40" spans="1:19" ht="30" customHeight="1" x14ac:dyDescent="0.25">
      <c r="A40" s="22" t="s">
        <v>57</v>
      </c>
      <c r="B40" s="23">
        <v>1198220</v>
      </c>
      <c r="C40" s="24">
        <v>121330</v>
      </c>
      <c r="D40" s="25"/>
      <c r="E40" s="26"/>
      <c r="F40" s="25"/>
      <c r="G40" s="27"/>
      <c r="H40" s="25">
        <v>7740</v>
      </c>
      <c r="I40" s="25"/>
      <c r="J40" s="25"/>
      <c r="K40" s="28">
        <v>0</v>
      </c>
      <c r="L40" s="25"/>
      <c r="M40" s="28">
        <v>40470</v>
      </c>
      <c r="N40" s="34"/>
      <c r="O40" s="56">
        <f t="shared" si="2"/>
        <v>1367760</v>
      </c>
      <c r="P40" s="18"/>
      <c r="Q40" s="31">
        <f t="shared" si="1"/>
        <v>93810</v>
      </c>
      <c r="R40" s="32"/>
      <c r="S40" s="32">
        <v>134280</v>
      </c>
    </row>
    <row r="41" spans="1:19" ht="15" customHeight="1" x14ac:dyDescent="0.25">
      <c r="A41" s="22" t="s">
        <v>58</v>
      </c>
      <c r="B41" s="23">
        <v>1190750</v>
      </c>
      <c r="C41" s="24"/>
      <c r="D41" s="25"/>
      <c r="E41" s="26"/>
      <c r="F41" s="25"/>
      <c r="G41" s="27"/>
      <c r="H41" s="25">
        <v>18760</v>
      </c>
      <c r="I41" s="25"/>
      <c r="J41" s="25"/>
      <c r="K41" s="28">
        <v>0</v>
      </c>
      <c r="L41" s="25"/>
      <c r="M41" s="28">
        <v>74430</v>
      </c>
      <c r="N41" s="25"/>
      <c r="O41" s="56">
        <f t="shared" si="2"/>
        <v>1283940</v>
      </c>
      <c r="P41" s="18"/>
      <c r="Q41" s="31">
        <f t="shared" si="1"/>
        <v>63290</v>
      </c>
      <c r="R41" s="32"/>
      <c r="S41" s="32">
        <v>137720</v>
      </c>
    </row>
    <row r="42" spans="1:19" ht="15" customHeight="1" x14ac:dyDescent="0.25">
      <c r="A42" s="22" t="s">
        <v>59</v>
      </c>
      <c r="B42" s="23">
        <v>1146910</v>
      </c>
      <c r="C42" s="24"/>
      <c r="D42" s="25"/>
      <c r="E42" s="26"/>
      <c r="F42" s="25">
        <v>44800</v>
      </c>
      <c r="G42" s="25">
        <v>27560</v>
      </c>
      <c r="H42" s="25">
        <v>9730</v>
      </c>
      <c r="I42" s="25"/>
      <c r="J42" s="25">
        <v>14300</v>
      </c>
      <c r="K42" s="28">
        <v>355</v>
      </c>
      <c r="L42" s="25"/>
      <c r="M42" s="28">
        <v>104570</v>
      </c>
      <c r="N42" s="34"/>
      <c r="O42" s="56">
        <f t="shared" si="2"/>
        <v>1348225</v>
      </c>
      <c r="P42" s="18"/>
      <c r="Q42" s="31">
        <f t="shared" si="1"/>
        <v>97370</v>
      </c>
      <c r="R42" s="32"/>
      <c r="S42" s="32">
        <f>(182.84+19.1)*1000</f>
        <v>201940</v>
      </c>
    </row>
    <row r="43" spans="1:19" ht="15" customHeight="1" x14ac:dyDescent="0.25">
      <c r="A43" s="22" t="s">
        <v>60</v>
      </c>
      <c r="B43" s="23">
        <v>710460</v>
      </c>
      <c r="C43" s="24"/>
      <c r="D43" s="25">
        <v>108160</v>
      </c>
      <c r="E43" s="26">
        <v>552260</v>
      </c>
      <c r="F43" s="25">
        <v>239070</v>
      </c>
      <c r="G43" s="27">
        <v>64520</v>
      </c>
      <c r="H43" s="25">
        <v>107190</v>
      </c>
      <c r="I43" s="25"/>
      <c r="J43" s="25"/>
      <c r="K43" s="28">
        <v>352</v>
      </c>
      <c r="L43" s="25"/>
      <c r="M43" s="28">
        <v>111410</v>
      </c>
      <c r="N43" s="34"/>
      <c r="O43" s="56">
        <f t="shared" si="2"/>
        <v>1893422</v>
      </c>
      <c r="P43" s="18"/>
      <c r="Q43" s="31">
        <f t="shared" si="1"/>
        <v>98669.999999999971</v>
      </c>
      <c r="R43" s="32"/>
      <c r="S43" s="32">
        <f>(201.22+8.86)*1000</f>
        <v>210079.99999999997</v>
      </c>
    </row>
    <row r="44" spans="1:19" ht="15" customHeight="1" x14ac:dyDescent="0.25">
      <c r="A44" s="22" t="s">
        <v>61</v>
      </c>
      <c r="B44" s="23">
        <v>1886360</v>
      </c>
      <c r="C44" s="24"/>
      <c r="D44" s="25"/>
      <c r="E44" s="26"/>
      <c r="F44" s="25">
        <v>254340</v>
      </c>
      <c r="G44" s="27">
        <v>39390</v>
      </c>
      <c r="H44" s="25">
        <v>18150</v>
      </c>
      <c r="I44" s="25">
        <v>5460</v>
      </c>
      <c r="J44" s="25"/>
      <c r="K44" s="28">
        <v>0</v>
      </c>
      <c r="L44" s="25"/>
      <c r="M44" s="28">
        <v>137700</v>
      </c>
      <c r="N44" s="34"/>
      <c r="O44" s="56">
        <f t="shared" si="2"/>
        <v>2341400</v>
      </c>
      <c r="P44" s="18"/>
      <c r="Q44" s="31">
        <f t="shared" si="1"/>
        <v>124110</v>
      </c>
      <c r="R44" s="32"/>
      <c r="S44" s="32">
        <v>261810</v>
      </c>
    </row>
    <row r="45" spans="1:19" ht="15" customHeight="1" x14ac:dyDescent="0.25">
      <c r="A45" s="22" t="s">
        <v>62</v>
      </c>
      <c r="B45" s="23">
        <v>2234800</v>
      </c>
      <c r="C45" s="24"/>
      <c r="D45" s="25"/>
      <c r="E45" s="26">
        <v>234880</v>
      </c>
      <c r="F45" s="25"/>
      <c r="G45" s="27">
        <v>3770</v>
      </c>
      <c r="H45" s="25">
        <v>15780</v>
      </c>
      <c r="I45" s="25"/>
      <c r="J45" s="25"/>
      <c r="K45" s="28">
        <v>602</v>
      </c>
      <c r="L45" s="25"/>
      <c r="M45" s="28">
        <v>30740</v>
      </c>
      <c r="N45" s="34"/>
      <c r="O45" s="56">
        <f t="shared" si="2"/>
        <v>2520572</v>
      </c>
      <c r="P45" s="18"/>
      <c r="Q45" s="31">
        <f t="shared" si="1"/>
        <v>71240</v>
      </c>
      <c r="R45" s="32"/>
      <c r="S45" s="32">
        <v>101980</v>
      </c>
    </row>
    <row r="46" spans="1:19" ht="15.75" customHeight="1" x14ac:dyDescent="0.25">
      <c r="A46" s="22" t="s">
        <v>63</v>
      </c>
      <c r="B46" s="23">
        <v>1245510</v>
      </c>
      <c r="C46" s="24"/>
      <c r="D46" s="25">
        <v>3650</v>
      </c>
      <c r="E46" s="26">
        <v>2201150</v>
      </c>
      <c r="F46" s="25"/>
      <c r="G46" s="27"/>
      <c r="H46" s="25">
        <v>77500</v>
      </c>
      <c r="I46" s="25"/>
      <c r="J46" s="25"/>
      <c r="K46" s="28">
        <v>968</v>
      </c>
      <c r="L46" s="25"/>
      <c r="M46" s="28">
        <v>153240</v>
      </c>
      <c r="N46" s="34"/>
      <c r="O46" s="56">
        <f t="shared" si="2"/>
        <v>3682018</v>
      </c>
      <c r="P46" s="18"/>
      <c r="Q46" s="31">
        <f t="shared" si="1"/>
        <v>139000</v>
      </c>
      <c r="R46" s="32"/>
      <c r="S46" s="32">
        <f>(280.92+11.32)*1000</f>
        <v>292240</v>
      </c>
    </row>
    <row r="47" spans="1:19" ht="15" customHeight="1" x14ac:dyDescent="0.25">
      <c r="A47" s="22" t="s">
        <v>64</v>
      </c>
      <c r="B47" s="23">
        <v>1233360</v>
      </c>
      <c r="C47" s="24"/>
      <c r="D47" s="25"/>
      <c r="E47" s="26">
        <v>778280</v>
      </c>
      <c r="F47" s="25"/>
      <c r="G47" s="27">
        <v>77980</v>
      </c>
      <c r="H47" s="25">
        <v>168670</v>
      </c>
      <c r="I47" s="25"/>
      <c r="J47" s="25"/>
      <c r="K47" s="28">
        <v>389</v>
      </c>
      <c r="L47" s="25"/>
      <c r="M47" s="28">
        <v>206320</v>
      </c>
      <c r="N47" s="34"/>
      <c r="O47" s="56">
        <f t="shared" si="2"/>
        <v>2464999</v>
      </c>
      <c r="P47" s="18"/>
      <c r="Q47" s="31">
        <f t="shared" si="1"/>
        <v>185500.00000000006</v>
      </c>
      <c r="R47" s="32"/>
      <c r="S47" s="32">
        <f>(22.72+369.1)*1000</f>
        <v>391820.00000000006</v>
      </c>
    </row>
    <row r="48" spans="1:19" ht="15" customHeight="1" x14ac:dyDescent="0.25">
      <c r="A48" s="22" t="s">
        <v>65</v>
      </c>
      <c r="B48" s="23">
        <v>1018580</v>
      </c>
      <c r="C48" s="24"/>
      <c r="D48" s="25"/>
      <c r="E48" s="26"/>
      <c r="F48" s="25"/>
      <c r="G48" s="27"/>
      <c r="H48" s="25"/>
      <c r="I48" s="25"/>
      <c r="J48" s="25"/>
      <c r="K48" s="28">
        <v>0</v>
      </c>
      <c r="L48" s="25"/>
      <c r="M48" s="28">
        <v>64590</v>
      </c>
      <c r="N48" s="34"/>
      <c r="O48" s="56">
        <f t="shared" si="2"/>
        <v>1083170</v>
      </c>
      <c r="P48" s="18"/>
      <c r="Q48" s="31">
        <f t="shared" si="1"/>
        <v>149710</v>
      </c>
      <c r="R48" s="32"/>
      <c r="S48" s="32">
        <v>214300</v>
      </c>
    </row>
    <row r="49" spans="1:23" ht="14.25" customHeight="1" x14ac:dyDescent="0.25">
      <c r="A49" s="36" t="s">
        <v>66</v>
      </c>
      <c r="B49" s="23">
        <v>1999570</v>
      </c>
      <c r="C49" s="24"/>
      <c r="D49" s="25"/>
      <c r="E49" s="26"/>
      <c r="F49" s="25">
        <v>47180</v>
      </c>
      <c r="G49" s="27">
        <v>216890</v>
      </c>
      <c r="H49" s="25"/>
      <c r="I49" s="25"/>
      <c r="J49" s="25"/>
      <c r="K49" s="28">
        <v>483</v>
      </c>
      <c r="L49" s="25"/>
      <c r="M49" s="28">
        <v>101000</v>
      </c>
      <c r="N49" s="34"/>
      <c r="O49" s="56">
        <f>SUM(B49:M49)</f>
        <v>2365123</v>
      </c>
      <c r="P49" s="18"/>
      <c r="Q49" s="31">
        <f t="shared" si="1"/>
        <v>234080</v>
      </c>
      <c r="R49" s="32"/>
      <c r="S49" s="32">
        <v>335080</v>
      </c>
    </row>
    <row r="50" spans="1:23" ht="17.25" customHeight="1" x14ac:dyDescent="0.25">
      <c r="A50" s="22" t="s">
        <v>67</v>
      </c>
      <c r="B50" s="23">
        <v>1248010</v>
      </c>
      <c r="C50" s="24"/>
      <c r="D50" s="25"/>
      <c r="E50" s="26"/>
      <c r="F50" s="25"/>
      <c r="G50" s="27">
        <v>144400</v>
      </c>
      <c r="H50" s="25">
        <v>19360</v>
      </c>
      <c r="I50" s="25"/>
      <c r="J50" s="25"/>
      <c r="K50" s="28">
        <v>483</v>
      </c>
      <c r="L50" s="25"/>
      <c r="M50" s="28">
        <v>68140</v>
      </c>
      <c r="N50" s="34"/>
      <c r="O50" s="56">
        <f t="shared" si="2"/>
        <v>1480393</v>
      </c>
      <c r="P50" s="18"/>
      <c r="Q50" s="31">
        <f t="shared" si="1"/>
        <v>158490.00000000003</v>
      </c>
      <c r="R50" s="32"/>
      <c r="S50" s="32">
        <f>(219.34+4.52+2.77)*1000</f>
        <v>226630.00000000003</v>
      </c>
    </row>
    <row r="51" spans="1:23" ht="15" customHeight="1" x14ac:dyDescent="0.25">
      <c r="A51" s="22" t="s">
        <v>68</v>
      </c>
      <c r="B51" s="23">
        <v>4705530</v>
      </c>
      <c r="C51" s="24"/>
      <c r="D51" s="25"/>
      <c r="E51" s="26">
        <v>1277680</v>
      </c>
      <c r="F51" s="25">
        <v>176150</v>
      </c>
      <c r="G51" s="27">
        <v>7770</v>
      </c>
      <c r="H51" s="25">
        <v>41810</v>
      </c>
      <c r="I51" s="25"/>
      <c r="J51" s="25">
        <v>56430</v>
      </c>
      <c r="K51" s="28">
        <v>104</v>
      </c>
      <c r="L51" s="25"/>
      <c r="M51" s="28">
        <v>314310</v>
      </c>
      <c r="N51" s="34"/>
      <c r="O51" s="56">
        <f t="shared" si="2"/>
        <v>6579784</v>
      </c>
      <c r="P51" s="18"/>
      <c r="Q51" s="31">
        <f t="shared" si="1"/>
        <v>270800</v>
      </c>
      <c r="R51" s="32"/>
      <c r="S51" s="32">
        <f>(3.58+553.3+28.23)*1000</f>
        <v>585110</v>
      </c>
    </row>
    <row r="52" spans="1:23" ht="15" customHeight="1" x14ac:dyDescent="0.25">
      <c r="A52" s="22" t="s">
        <v>69</v>
      </c>
      <c r="B52" s="23">
        <v>891900</v>
      </c>
      <c r="C52" s="24"/>
      <c r="D52" s="25"/>
      <c r="E52" s="26"/>
      <c r="F52" s="25">
        <v>64090</v>
      </c>
      <c r="G52" s="27"/>
      <c r="H52" s="25">
        <v>16250</v>
      </c>
      <c r="I52" s="25"/>
      <c r="J52" s="25"/>
      <c r="K52" s="28">
        <v>279</v>
      </c>
      <c r="L52" s="25"/>
      <c r="M52" s="28">
        <v>58930</v>
      </c>
      <c r="N52" s="34"/>
      <c r="O52" s="56">
        <f t="shared" si="2"/>
        <v>1031449</v>
      </c>
      <c r="P52" s="18"/>
      <c r="Q52" s="31">
        <f t="shared" si="1"/>
        <v>141990</v>
      </c>
      <c r="R52" s="32"/>
      <c r="S52" s="32">
        <f>(191.64+9.28)*1000</f>
        <v>200920</v>
      </c>
    </row>
    <row r="53" spans="1:23" ht="15" customHeight="1" x14ac:dyDescent="0.25">
      <c r="A53" s="22" t="s">
        <v>70</v>
      </c>
      <c r="B53" s="23">
        <v>50860</v>
      </c>
      <c r="C53" s="24"/>
      <c r="D53" s="25">
        <v>142680</v>
      </c>
      <c r="E53" s="26">
        <v>615400</v>
      </c>
      <c r="F53" s="25">
        <v>20210</v>
      </c>
      <c r="G53" s="27">
        <v>9460</v>
      </c>
      <c r="H53" s="25">
        <v>1550</v>
      </c>
      <c r="I53" s="25"/>
      <c r="J53" s="25"/>
      <c r="K53" s="28">
        <v>0</v>
      </c>
      <c r="L53" s="25"/>
      <c r="M53" s="28">
        <v>16660</v>
      </c>
      <c r="N53" s="34"/>
      <c r="O53" s="56">
        <f t="shared" si="2"/>
        <v>856820</v>
      </c>
      <c r="P53" s="18"/>
      <c r="Q53" s="31">
        <f t="shared" si="1"/>
        <v>17560</v>
      </c>
      <c r="R53" s="32"/>
      <c r="S53" s="32">
        <f>(29.8+4.42)*1000</f>
        <v>34220</v>
      </c>
    </row>
    <row r="54" spans="1:23" ht="15" customHeight="1" x14ac:dyDescent="0.25">
      <c r="A54" s="22" t="s">
        <v>71</v>
      </c>
      <c r="B54" s="23">
        <v>4326520</v>
      </c>
      <c r="C54" s="24"/>
      <c r="D54" s="25"/>
      <c r="E54" s="26"/>
      <c r="F54" s="25">
        <v>590580</v>
      </c>
      <c r="G54" s="27"/>
      <c r="H54" s="25">
        <v>193530</v>
      </c>
      <c r="I54" s="25"/>
      <c r="J54" s="25"/>
      <c r="K54" s="28">
        <v>60</v>
      </c>
      <c r="L54" s="25"/>
      <c r="M54" s="28">
        <v>260279.99999999997</v>
      </c>
      <c r="N54" s="34"/>
      <c r="O54" s="56">
        <f t="shared" si="2"/>
        <v>5370970</v>
      </c>
      <c r="P54" s="18"/>
      <c r="Q54" s="31">
        <f t="shared" si="1"/>
        <v>234570.00000000003</v>
      </c>
      <c r="R54" s="32"/>
      <c r="S54" s="32">
        <v>494850</v>
      </c>
    </row>
    <row r="55" spans="1:23" ht="15" customHeight="1" x14ac:dyDescent="0.25">
      <c r="A55" s="22" t="s">
        <v>72</v>
      </c>
      <c r="B55" s="23">
        <v>689910</v>
      </c>
      <c r="C55" s="24"/>
      <c r="D55" s="25"/>
      <c r="E55" s="26"/>
      <c r="F55" s="25">
        <v>756250</v>
      </c>
      <c r="G55" s="27">
        <v>50620</v>
      </c>
      <c r="H55" s="25"/>
      <c r="I55" s="25"/>
      <c r="J55" s="25">
        <v>224390</v>
      </c>
      <c r="K55" s="28">
        <v>0</v>
      </c>
      <c r="L55" s="25"/>
      <c r="M55" s="28">
        <v>0</v>
      </c>
      <c r="N55" s="34"/>
      <c r="O55" s="56">
        <f t="shared" si="2"/>
        <v>1721170</v>
      </c>
      <c r="P55" s="18"/>
      <c r="Q55" s="31">
        <f t="shared" si="1"/>
        <v>0</v>
      </c>
      <c r="R55" s="32"/>
      <c r="S55" s="32">
        <v>0</v>
      </c>
    </row>
    <row r="56" spans="1:23" ht="15" customHeight="1" x14ac:dyDescent="0.25">
      <c r="A56" s="22" t="s">
        <v>73</v>
      </c>
      <c r="B56" s="23">
        <v>146520</v>
      </c>
      <c r="C56" s="24"/>
      <c r="D56" s="25"/>
      <c r="E56" s="26"/>
      <c r="F56" s="25"/>
      <c r="G56" s="27"/>
      <c r="H56" s="25"/>
      <c r="I56" s="25"/>
      <c r="J56" s="25"/>
      <c r="K56" s="28">
        <v>0</v>
      </c>
      <c r="L56" s="25"/>
      <c r="M56" s="28">
        <v>15020</v>
      </c>
      <c r="N56" s="34"/>
      <c r="O56" s="56">
        <f t="shared" si="2"/>
        <v>161540</v>
      </c>
      <c r="P56" s="18"/>
      <c r="Q56" s="31">
        <f t="shared" si="1"/>
        <v>12780</v>
      </c>
      <c r="R56" s="32"/>
      <c r="S56" s="32">
        <v>27800</v>
      </c>
    </row>
    <row r="57" spans="1:23" ht="25.5" customHeight="1" x14ac:dyDescent="0.25">
      <c r="A57" s="22" t="s">
        <v>74</v>
      </c>
      <c r="B57" s="23">
        <v>829820</v>
      </c>
      <c r="C57" s="24"/>
      <c r="D57" s="25"/>
      <c r="E57" s="26"/>
      <c r="F57" s="25"/>
      <c r="G57" s="27"/>
      <c r="H57" s="25">
        <v>5650</v>
      </c>
      <c r="I57" s="25"/>
      <c r="J57" s="25">
        <v>88640</v>
      </c>
      <c r="K57" s="28">
        <v>387</v>
      </c>
      <c r="L57" s="25"/>
      <c r="M57" s="28">
        <v>9950</v>
      </c>
      <c r="N57" s="34"/>
      <c r="O57" s="56">
        <f t="shared" si="2"/>
        <v>934447</v>
      </c>
      <c r="P57" s="18"/>
      <c r="Q57" s="31">
        <f t="shared" si="1"/>
        <v>23050</v>
      </c>
      <c r="R57" s="32"/>
      <c r="S57" s="32">
        <v>33000</v>
      </c>
    </row>
    <row r="58" spans="1:23" ht="19.5" customHeight="1" x14ac:dyDescent="0.25">
      <c r="A58" s="22" t="s">
        <v>75</v>
      </c>
      <c r="B58" s="23">
        <v>328710</v>
      </c>
      <c r="C58" s="24"/>
      <c r="D58" s="25">
        <v>273690</v>
      </c>
      <c r="E58" s="26">
        <v>1090370</v>
      </c>
      <c r="F58" s="25">
        <v>56110</v>
      </c>
      <c r="G58" s="27"/>
      <c r="H58" s="25">
        <v>9680</v>
      </c>
      <c r="I58" s="25"/>
      <c r="J58" s="25"/>
      <c r="K58" s="28">
        <v>0</v>
      </c>
      <c r="L58" s="25"/>
      <c r="M58" s="28">
        <v>19290</v>
      </c>
      <c r="N58" s="34"/>
      <c r="O58" s="56">
        <f t="shared" si="2"/>
        <v>1777850</v>
      </c>
      <c r="P58" s="18"/>
      <c r="Q58" s="31">
        <f t="shared" si="1"/>
        <v>16410</v>
      </c>
      <c r="R58" s="32"/>
      <c r="S58" s="32">
        <v>35700</v>
      </c>
    </row>
    <row r="59" spans="1:23" ht="17.25" customHeight="1" x14ac:dyDescent="0.25">
      <c r="A59" s="22" t="s">
        <v>76</v>
      </c>
      <c r="B59" s="23">
        <v>1247290</v>
      </c>
      <c r="C59" s="24"/>
      <c r="D59" s="25"/>
      <c r="E59" s="26"/>
      <c r="F59" s="25"/>
      <c r="G59" s="27"/>
      <c r="H59" s="25"/>
      <c r="I59" s="25"/>
      <c r="J59" s="25"/>
      <c r="K59" s="28">
        <v>0</v>
      </c>
      <c r="L59" s="25"/>
      <c r="M59" s="28">
        <v>42230</v>
      </c>
      <c r="N59" s="34"/>
      <c r="O59" s="56">
        <f t="shared" si="2"/>
        <v>1289520</v>
      </c>
      <c r="P59" s="18"/>
      <c r="Q59" s="31">
        <f t="shared" si="1"/>
        <v>97870</v>
      </c>
      <c r="R59" s="32"/>
      <c r="S59" s="32">
        <v>140100</v>
      </c>
      <c r="W59" s="35"/>
    </row>
    <row r="60" spans="1:23" ht="28.5" customHeight="1" x14ac:dyDescent="0.25">
      <c r="A60" s="22" t="s">
        <v>77</v>
      </c>
      <c r="B60" s="23">
        <v>1705210</v>
      </c>
      <c r="C60" s="24"/>
      <c r="D60" s="25">
        <v>215220</v>
      </c>
      <c r="E60" s="26"/>
      <c r="F60" s="25"/>
      <c r="G60" s="27"/>
      <c r="H60" s="25"/>
      <c r="I60" s="25"/>
      <c r="J60" s="25"/>
      <c r="K60" s="28">
        <v>0</v>
      </c>
      <c r="L60" s="25"/>
      <c r="M60" s="28">
        <v>23490</v>
      </c>
      <c r="N60" s="34"/>
      <c r="O60" s="56">
        <f t="shared" si="2"/>
        <v>1943920</v>
      </c>
      <c r="P60" s="18"/>
      <c r="Q60" s="31">
        <f t="shared" si="1"/>
        <v>54450</v>
      </c>
      <c r="R60" s="32"/>
      <c r="S60" s="32">
        <v>77940</v>
      </c>
      <c r="W60" s="35"/>
    </row>
    <row r="61" spans="1:23" ht="12.75" customHeight="1" x14ac:dyDescent="0.25">
      <c r="A61" s="22" t="s">
        <v>78</v>
      </c>
      <c r="B61" s="23">
        <v>113970</v>
      </c>
      <c r="C61" s="34"/>
      <c r="D61" s="25"/>
      <c r="E61" s="26"/>
      <c r="F61" s="25"/>
      <c r="G61" s="27"/>
      <c r="H61" s="25"/>
      <c r="I61" s="25"/>
      <c r="J61" s="25"/>
      <c r="K61" s="28">
        <v>0</v>
      </c>
      <c r="L61" s="25"/>
      <c r="M61" s="28">
        <v>0</v>
      </c>
      <c r="N61" s="34"/>
      <c r="O61" s="56">
        <f t="shared" si="2"/>
        <v>113970</v>
      </c>
      <c r="P61" s="18"/>
      <c r="Q61" s="31">
        <f t="shared" si="1"/>
        <v>0</v>
      </c>
      <c r="R61" s="32"/>
      <c r="S61" s="32">
        <v>0</v>
      </c>
      <c r="W61" s="35"/>
    </row>
    <row r="62" spans="1:23" ht="12.75" customHeight="1" x14ac:dyDescent="0.25">
      <c r="A62" s="22" t="s">
        <v>79</v>
      </c>
      <c r="B62" s="23">
        <v>194400</v>
      </c>
      <c r="C62" s="24">
        <v>44960</v>
      </c>
      <c r="D62" s="25"/>
      <c r="E62" s="26"/>
      <c r="F62" s="25"/>
      <c r="G62" s="27"/>
      <c r="H62" s="25"/>
      <c r="I62" s="25"/>
      <c r="J62" s="25"/>
      <c r="K62" s="28">
        <v>0</v>
      </c>
      <c r="L62" s="25"/>
      <c r="M62" s="28">
        <v>0</v>
      </c>
      <c r="N62" s="34"/>
      <c r="O62" s="56">
        <f t="shared" si="2"/>
        <v>239360</v>
      </c>
      <c r="P62" s="18"/>
      <c r="Q62" s="31">
        <f t="shared" si="1"/>
        <v>0</v>
      </c>
      <c r="R62" s="32"/>
      <c r="S62" s="32">
        <v>0</v>
      </c>
      <c r="W62" s="35"/>
    </row>
    <row r="63" spans="1:23" ht="12.75" customHeight="1" x14ac:dyDescent="0.25">
      <c r="A63" s="22" t="s">
        <v>80</v>
      </c>
      <c r="B63" s="23"/>
      <c r="C63" s="34"/>
      <c r="D63" s="25"/>
      <c r="E63" s="26"/>
      <c r="F63" s="25"/>
      <c r="G63" s="27"/>
      <c r="H63" s="25"/>
      <c r="I63" s="25"/>
      <c r="J63" s="25"/>
      <c r="K63" s="28">
        <v>0</v>
      </c>
      <c r="L63" s="25"/>
      <c r="M63" s="28">
        <v>0</v>
      </c>
      <c r="N63" s="34"/>
      <c r="O63" s="56">
        <f t="shared" si="2"/>
        <v>0</v>
      </c>
      <c r="P63" s="18"/>
      <c r="Q63" s="31">
        <f t="shared" si="1"/>
        <v>0</v>
      </c>
      <c r="R63" s="32"/>
      <c r="S63" s="32">
        <v>0</v>
      </c>
    </row>
    <row r="64" spans="1:23" ht="30.75" customHeight="1" x14ac:dyDescent="0.25">
      <c r="A64" s="22" t="s">
        <v>81</v>
      </c>
      <c r="B64" s="23">
        <v>1339230</v>
      </c>
      <c r="C64" s="24"/>
      <c r="D64" s="25"/>
      <c r="E64" s="26"/>
      <c r="F64" s="25"/>
      <c r="G64" s="27">
        <v>3070</v>
      </c>
      <c r="H64" s="25"/>
      <c r="I64" s="25"/>
      <c r="J64" s="25"/>
      <c r="K64" s="28">
        <v>670</v>
      </c>
      <c r="L64" s="25"/>
      <c r="M64" s="28">
        <v>75530</v>
      </c>
      <c r="N64" s="34"/>
      <c r="O64" s="56">
        <f t="shared" si="2"/>
        <v>1418500</v>
      </c>
      <c r="P64" s="18"/>
      <c r="Q64" s="31">
        <f t="shared" si="1"/>
        <v>68070</v>
      </c>
      <c r="R64" s="32"/>
      <c r="S64" s="32">
        <v>143600</v>
      </c>
    </row>
    <row r="65" spans="1:19" ht="12.75" customHeight="1" x14ac:dyDescent="0.25">
      <c r="A65" s="22" t="s">
        <v>82</v>
      </c>
      <c r="B65" s="23">
        <v>883820</v>
      </c>
      <c r="C65" s="24"/>
      <c r="D65" s="25"/>
      <c r="E65" s="26"/>
      <c r="F65" s="25">
        <v>254370</v>
      </c>
      <c r="G65" s="27">
        <v>192200</v>
      </c>
      <c r="H65" s="25"/>
      <c r="I65" s="25"/>
      <c r="J65" s="25"/>
      <c r="K65" s="28">
        <v>561</v>
      </c>
      <c r="L65" s="25"/>
      <c r="M65" s="28">
        <v>58590</v>
      </c>
      <c r="N65" s="34"/>
      <c r="O65" s="56">
        <f t="shared" si="2"/>
        <v>1389541</v>
      </c>
      <c r="P65" s="18"/>
      <c r="Q65" s="31">
        <f t="shared" si="1"/>
        <v>133280</v>
      </c>
      <c r="R65" s="32"/>
      <c r="S65" s="32">
        <f>(188.5+3.37)*1000</f>
        <v>191870</v>
      </c>
    </row>
    <row r="66" spans="1:19" ht="20.25" customHeight="1" x14ac:dyDescent="0.25">
      <c r="A66" s="22" t="s">
        <v>83</v>
      </c>
      <c r="B66" s="23">
        <v>2728470</v>
      </c>
      <c r="C66" s="24">
        <v>161330</v>
      </c>
      <c r="D66" s="25"/>
      <c r="E66" s="26"/>
      <c r="F66" s="25">
        <v>205010</v>
      </c>
      <c r="G66" s="27">
        <v>56900</v>
      </c>
      <c r="H66" s="25"/>
      <c r="I66" s="25"/>
      <c r="J66" s="25"/>
      <c r="K66" s="28">
        <v>0</v>
      </c>
      <c r="L66" s="25"/>
      <c r="M66" s="28">
        <v>62180</v>
      </c>
      <c r="N66" s="34"/>
      <c r="O66" s="56">
        <f t="shared" si="2"/>
        <v>3213890</v>
      </c>
      <c r="P66" s="18"/>
      <c r="Q66" s="31">
        <f t="shared" si="1"/>
        <v>56040</v>
      </c>
      <c r="R66" s="32"/>
      <c r="S66" s="32">
        <v>118220</v>
      </c>
    </row>
    <row r="67" spans="1:19" ht="15" customHeight="1" x14ac:dyDescent="0.25">
      <c r="A67" s="22" t="s">
        <v>84</v>
      </c>
      <c r="B67" s="23">
        <v>767970</v>
      </c>
      <c r="C67" s="24"/>
      <c r="D67" s="25"/>
      <c r="E67" s="26">
        <v>473050</v>
      </c>
      <c r="F67" s="25">
        <v>213970</v>
      </c>
      <c r="G67" s="27">
        <v>74190</v>
      </c>
      <c r="H67" s="25">
        <v>16310</v>
      </c>
      <c r="I67" s="25"/>
      <c r="J67" s="25"/>
      <c r="K67" s="28">
        <v>854</v>
      </c>
      <c r="L67" s="25"/>
      <c r="M67" s="28">
        <v>123650</v>
      </c>
      <c r="N67" s="34"/>
      <c r="O67" s="56">
        <f t="shared" si="2"/>
        <v>1669994</v>
      </c>
      <c r="P67" s="18"/>
      <c r="Q67" s="31">
        <f t="shared" si="1"/>
        <v>110780</v>
      </c>
      <c r="R67" s="32"/>
      <c r="S67" s="32">
        <f>(7.34+227.09)*1000</f>
        <v>234430</v>
      </c>
    </row>
    <row r="68" spans="1:19" ht="15" customHeight="1" x14ac:dyDescent="0.25">
      <c r="A68" s="22" t="s">
        <v>85</v>
      </c>
      <c r="B68" s="23">
        <v>2073450</v>
      </c>
      <c r="C68" s="24"/>
      <c r="D68" s="25"/>
      <c r="E68" s="26"/>
      <c r="F68" s="25">
        <v>258600</v>
      </c>
      <c r="G68" s="27"/>
      <c r="H68" s="25">
        <v>77820</v>
      </c>
      <c r="I68" s="25"/>
      <c r="J68" s="25"/>
      <c r="K68" s="28">
        <v>60</v>
      </c>
      <c r="L68" s="25"/>
      <c r="M68" s="28">
        <v>115120</v>
      </c>
      <c r="N68" s="34"/>
      <c r="O68" s="56">
        <f t="shared" si="2"/>
        <v>2525050</v>
      </c>
      <c r="P68" s="18"/>
      <c r="Q68" s="31">
        <f t="shared" si="1"/>
        <v>307120</v>
      </c>
      <c r="R68" s="32"/>
      <c r="S68" s="32">
        <f>(353.02+69.22)*1000</f>
        <v>422240</v>
      </c>
    </row>
    <row r="69" spans="1:19" ht="15" customHeight="1" x14ac:dyDescent="0.25">
      <c r="A69" s="22" t="s">
        <v>86</v>
      </c>
      <c r="B69" s="23">
        <v>1230670</v>
      </c>
      <c r="C69" s="24"/>
      <c r="D69" s="25">
        <v>183970</v>
      </c>
      <c r="E69" s="26"/>
      <c r="F69" s="25"/>
      <c r="G69" s="27"/>
      <c r="H69" s="25">
        <v>32010</v>
      </c>
      <c r="I69" s="25"/>
      <c r="J69" s="25"/>
      <c r="K69" s="28">
        <v>0</v>
      </c>
      <c r="L69" s="25"/>
      <c r="M69" s="28">
        <v>0</v>
      </c>
      <c r="N69" s="34"/>
      <c r="O69" s="56">
        <f t="shared" si="2"/>
        <v>1446650</v>
      </c>
      <c r="P69" s="18"/>
      <c r="Q69" s="31">
        <f>(S69-M69)</f>
        <v>0</v>
      </c>
      <c r="R69" s="32"/>
      <c r="S69" s="32">
        <v>0</v>
      </c>
    </row>
    <row r="70" spans="1:19" ht="34.5" customHeight="1" x14ac:dyDescent="0.2">
      <c r="A70" s="37" t="s">
        <v>87</v>
      </c>
      <c r="B70" s="38">
        <f>SUM(B4:B69)</f>
        <v>105774670</v>
      </c>
      <c r="C70" s="38">
        <f t="shared" ref="C70:K70" si="3">SUM(C4:C69)</f>
        <v>1813570</v>
      </c>
      <c r="D70" s="38">
        <f>SUM(D4:D69)</f>
        <v>1503380</v>
      </c>
      <c r="E70" s="39">
        <f t="shared" si="3"/>
        <v>15220760</v>
      </c>
      <c r="F70" s="40">
        <f t="shared" si="3"/>
        <v>16541560</v>
      </c>
      <c r="G70" s="40">
        <f t="shared" si="3"/>
        <v>2584140</v>
      </c>
      <c r="H70" s="40">
        <f t="shared" si="3"/>
        <v>1597620</v>
      </c>
      <c r="I70" s="40">
        <f t="shared" si="3"/>
        <v>132810</v>
      </c>
      <c r="J70" s="40">
        <f t="shared" si="3"/>
        <v>879460</v>
      </c>
      <c r="K70" s="40">
        <f t="shared" si="3"/>
        <v>21280</v>
      </c>
      <c r="L70" s="41"/>
      <c r="M70" s="42">
        <f>SUM(M4:M69)</f>
        <v>5029530</v>
      </c>
      <c r="N70" s="43"/>
      <c r="O70" s="42">
        <f>SUM(O4:O69)</f>
        <v>151098780</v>
      </c>
      <c r="P70" s="44"/>
      <c r="Q70" s="45">
        <f>SUM(Q4:Q69)</f>
        <v>9517330</v>
      </c>
      <c r="R70" s="46">
        <f>SUM(R4:R69)</f>
        <v>0</v>
      </c>
      <c r="S70" s="67">
        <f>SUM(S4:S69)</f>
        <v>14546860</v>
      </c>
    </row>
    <row r="71" spans="1:19" ht="21" customHeight="1" x14ac:dyDescent="0.2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50"/>
      <c r="O71" s="49"/>
      <c r="P71" s="18"/>
      <c r="Q71" s="49"/>
    </row>
    <row r="72" spans="1:19" ht="27.75" customHeight="1" x14ac:dyDescent="0.2">
      <c r="A72" s="99" t="s">
        <v>88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</row>
    <row r="74" spans="1:19" x14ac:dyDescent="0.2">
      <c r="M74" s="52">
        <f>M70+Q70</f>
        <v>14546860</v>
      </c>
    </row>
  </sheetData>
  <mergeCells count="3">
    <mergeCell ref="A1:M1"/>
    <mergeCell ref="B2:K2"/>
    <mergeCell ref="A72:Q7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8F51-21DD-43DB-B158-B892ABC96E5E}">
  <sheetPr codeName="Sheet13"/>
  <dimension ref="A1:Y74"/>
  <sheetViews>
    <sheetView workbookViewId="0">
      <pane xSplit="1" ySplit="3" topLeftCell="H53" activePane="bottomRight" state="frozen"/>
      <selection activeCell="R70" sqref="R70"/>
      <selection pane="topRight" activeCell="R70" sqref="R70"/>
      <selection pane="bottomLeft" activeCell="R70" sqref="R70"/>
      <selection pane="bottomRight" activeCell="R70" sqref="R70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5" width="11.42578125" style="1" customWidth="1"/>
    <col min="6" max="6" width="13.140625" style="1" customWidth="1"/>
    <col min="7" max="7" width="11.140625" style="51" customWidth="1"/>
    <col min="8" max="8" width="10.7109375" style="1" customWidth="1"/>
    <col min="9" max="9" width="9" style="1" customWidth="1"/>
    <col min="10" max="10" width="9.140625" style="1" customWidth="1"/>
    <col min="11" max="11" width="10" style="1" customWidth="1"/>
    <col min="12" max="12" width="1.7109375" style="1" customWidth="1"/>
    <col min="13" max="13" width="12.42578125" style="53" customWidth="1"/>
    <col min="14" max="14" width="2" style="1" customWidth="1"/>
    <col min="15" max="15" width="13.85546875" style="1" customWidth="1"/>
    <col min="16" max="16" width="3.85546875" style="1" customWidth="1"/>
    <col min="17" max="17" width="12.42578125" style="53" customWidth="1"/>
    <col min="18" max="18" width="12.5703125" style="1" customWidth="1"/>
    <col min="19" max="19" width="12.7109375" style="1" bestFit="1" customWidth="1"/>
    <col min="20" max="22" width="6.85546875" style="1"/>
    <col min="23" max="23" width="10.140625" style="1" bestFit="1" customWidth="1"/>
    <col min="24" max="24" width="6.85546875" style="1"/>
    <col min="25" max="25" width="10.140625" style="1" bestFit="1" customWidth="1"/>
    <col min="26" max="256" width="6.85546875" style="1"/>
    <col min="257" max="257" width="28.5703125" style="1" customWidth="1"/>
    <col min="258" max="258" width="13.5703125" style="1" customWidth="1"/>
    <col min="259" max="259" width="11.7109375" style="1" customWidth="1"/>
    <col min="260" max="260" width="12" style="1" customWidth="1"/>
    <col min="261" max="261" width="11.42578125" style="1" customWidth="1"/>
    <col min="262" max="262" width="13.140625" style="1" customWidth="1"/>
    <col min="263" max="263" width="11.140625" style="1" customWidth="1"/>
    <col min="264" max="264" width="10.7109375" style="1" customWidth="1"/>
    <col min="265" max="265" width="9" style="1" customWidth="1"/>
    <col min="266" max="266" width="9.140625" style="1" customWidth="1"/>
    <col min="267" max="267" width="10" style="1" customWidth="1"/>
    <col min="268" max="268" width="1.7109375" style="1" customWidth="1"/>
    <col min="269" max="269" width="12.42578125" style="1" customWidth="1"/>
    <col min="270" max="270" width="2" style="1" customWidth="1"/>
    <col min="271" max="271" width="13.85546875" style="1" customWidth="1"/>
    <col min="272" max="272" width="3.85546875" style="1" customWidth="1"/>
    <col min="273" max="273" width="12.42578125" style="1" customWidth="1"/>
    <col min="274" max="274" width="12.5703125" style="1" customWidth="1"/>
    <col min="275" max="275" width="12.7109375" style="1" bestFit="1" customWidth="1"/>
    <col min="276" max="278" width="6.85546875" style="1"/>
    <col min="279" max="279" width="10.140625" style="1" bestFit="1" customWidth="1"/>
    <col min="280" max="280" width="6.85546875" style="1"/>
    <col min="281" max="281" width="10.140625" style="1" bestFit="1" customWidth="1"/>
    <col min="282" max="512" width="6.85546875" style="1"/>
    <col min="513" max="513" width="28.5703125" style="1" customWidth="1"/>
    <col min="514" max="514" width="13.5703125" style="1" customWidth="1"/>
    <col min="515" max="515" width="11.7109375" style="1" customWidth="1"/>
    <col min="516" max="516" width="12" style="1" customWidth="1"/>
    <col min="517" max="517" width="11.42578125" style="1" customWidth="1"/>
    <col min="518" max="518" width="13.140625" style="1" customWidth="1"/>
    <col min="519" max="519" width="11.140625" style="1" customWidth="1"/>
    <col min="520" max="520" width="10.7109375" style="1" customWidth="1"/>
    <col min="521" max="521" width="9" style="1" customWidth="1"/>
    <col min="522" max="522" width="9.140625" style="1" customWidth="1"/>
    <col min="523" max="523" width="10" style="1" customWidth="1"/>
    <col min="524" max="524" width="1.7109375" style="1" customWidth="1"/>
    <col min="525" max="525" width="12.42578125" style="1" customWidth="1"/>
    <col min="526" max="526" width="2" style="1" customWidth="1"/>
    <col min="527" max="527" width="13.85546875" style="1" customWidth="1"/>
    <col min="528" max="528" width="3.85546875" style="1" customWidth="1"/>
    <col min="529" max="529" width="12.42578125" style="1" customWidth="1"/>
    <col min="530" max="530" width="12.5703125" style="1" customWidth="1"/>
    <col min="531" max="531" width="12.7109375" style="1" bestFit="1" customWidth="1"/>
    <col min="532" max="534" width="6.85546875" style="1"/>
    <col min="535" max="535" width="10.140625" style="1" bestFit="1" customWidth="1"/>
    <col min="536" max="536" width="6.85546875" style="1"/>
    <col min="537" max="537" width="10.140625" style="1" bestFit="1" customWidth="1"/>
    <col min="538" max="768" width="6.85546875" style="1"/>
    <col min="769" max="769" width="28.5703125" style="1" customWidth="1"/>
    <col min="770" max="770" width="13.5703125" style="1" customWidth="1"/>
    <col min="771" max="771" width="11.7109375" style="1" customWidth="1"/>
    <col min="772" max="772" width="12" style="1" customWidth="1"/>
    <col min="773" max="773" width="11.42578125" style="1" customWidth="1"/>
    <col min="774" max="774" width="13.140625" style="1" customWidth="1"/>
    <col min="775" max="775" width="11.140625" style="1" customWidth="1"/>
    <col min="776" max="776" width="10.7109375" style="1" customWidth="1"/>
    <col min="777" max="777" width="9" style="1" customWidth="1"/>
    <col min="778" max="778" width="9.140625" style="1" customWidth="1"/>
    <col min="779" max="779" width="10" style="1" customWidth="1"/>
    <col min="780" max="780" width="1.7109375" style="1" customWidth="1"/>
    <col min="781" max="781" width="12.42578125" style="1" customWidth="1"/>
    <col min="782" max="782" width="2" style="1" customWidth="1"/>
    <col min="783" max="783" width="13.85546875" style="1" customWidth="1"/>
    <col min="784" max="784" width="3.85546875" style="1" customWidth="1"/>
    <col min="785" max="785" width="12.42578125" style="1" customWidth="1"/>
    <col min="786" max="786" width="12.5703125" style="1" customWidth="1"/>
    <col min="787" max="787" width="12.7109375" style="1" bestFit="1" customWidth="1"/>
    <col min="788" max="790" width="6.85546875" style="1"/>
    <col min="791" max="791" width="10.140625" style="1" bestFit="1" customWidth="1"/>
    <col min="792" max="792" width="6.85546875" style="1"/>
    <col min="793" max="793" width="10.140625" style="1" bestFit="1" customWidth="1"/>
    <col min="794" max="1024" width="6.85546875" style="1"/>
    <col min="1025" max="1025" width="28.5703125" style="1" customWidth="1"/>
    <col min="1026" max="1026" width="13.5703125" style="1" customWidth="1"/>
    <col min="1027" max="1027" width="11.7109375" style="1" customWidth="1"/>
    <col min="1028" max="1028" width="12" style="1" customWidth="1"/>
    <col min="1029" max="1029" width="11.42578125" style="1" customWidth="1"/>
    <col min="1030" max="1030" width="13.140625" style="1" customWidth="1"/>
    <col min="1031" max="1031" width="11.140625" style="1" customWidth="1"/>
    <col min="1032" max="1032" width="10.7109375" style="1" customWidth="1"/>
    <col min="1033" max="1033" width="9" style="1" customWidth="1"/>
    <col min="1034" max="1034" width="9.140625" style="1" customWidth="1"/>
    <col min="1035" max="1035" width="10" style="1" customWidth="1"/>
    <col min="1036" max="1036" width="1.7109375" style="1" customWidth="1"/>
    <col min="1037" max="1037" width="12.42578125" style="1" customWidth="1"/>
    <col min="1038" max="1038" width="2" style="1" customWidth="1"/>
    <col min="1039" max="1039" width="13.85546875" style="1" customWidth="1"/>
    <col min="1040" max="1040" width="3.85546875" style="1" customWidth="1"/>
    <col min="1041" max="1041" width="12.42578125" style="1" customWidth="1"/>
    <col min="1042" max="1042" width="12.5703125" style="1" customWidth="1"/>
    <col min="1043" max="1043" width="12.7109375" style="1" bestFit="1" customWidth="1"/>
    <col min="1044" max="1046" width="6.85546875" style="1"/>
    <col min="1047" max="1047" width="10.140625" style="1" bestFit="1" customWidth="1"/>
    <col min="1048" max="1048" width="6.85546875" style="1"/>
    <col min="1049" max="1049" width="10.140625" style="1" bestFit="1" customWidth="1"/>
    <col min="1050" max="1280" width="6.85546875" style="1"/>
    <col min="1281" max="1281" width="28.5703125" style="1" customWidth="1"/>
    <col min="1282" max="1282" width="13.5703125" style="1" customWidth="1"/>
    <col min="1283" max="1283" width="11.7109375" style="1" customWidth="1"/>
    <col min="1284" max="1284" width="12" style="1" customWidth="1"/>
    <col min="1285" max="1285" width="11.42578125" style="1" customWidth="1"/>
    <col min="1286" max="1286" width="13.140625" style="1" customWidth="1"/>
    <col min="1287" max="1287" width="11.140625" style="1" customWidth="1"/>
    <col min="1288" max="1288" width="10.7109375" style="1" customWidth="1"/>
    <col min="1289" max="1289" width="9" style="1" customWidth="1"/>
    <col min="1290" max="1290" width="9.140625" style="1" customWidth="1"/>
    <col min="1291" max="1291" width="10" style="1" customWidth="1"/>
    <col min="1292" max="1292" width="1.7109375" style="1" customWidth="1"/>
    <col min="1293" max="1293" width="12.42578125" style="1" customWidth="1"/>
    <col min="1294" max="1294" width="2" style="1" customWidth="1"/>
    <col min="1295" max="1295" width="13.85546875" style="1" customWidth="1"/>
    <col min="1296" max="1296" width="3.85546875" style="1" customWidth="1"/>
    <col min="1297" max="1297" width="12.42578125" style="1" customWidth="1"/>
    <col min="1298" max="1298" width="12.5703125" style="1" customWidth="1"/>
    <col min="1299" max="1299" width="12.7109375" style="1" bestFit="1" customWidth="1"/>
    <col min="1300" max="1302" width="6.85546875" style="1"/>
    <col min="1303" max="1303" width="10.140625" style="1" bestFit="1" customWidth="1"/>
    <col min="1304" max="1304" width="6.85546875" style="1"/>
    <col min="1305" max="1305" width="10.140625" style="1" bestFit="1" customWidth="1"/>
    <col min="1306" max="1536" width="6.85546875" style="1"/>
    <col min="1537" max="1537" width="28.5703125" style="1" customWidth="1"/>
    <col min="1538" max="1538" width="13.5703125" style="1" customWidth="1"/>
    <col min="1539" max="1539" width="11.7109375" style="1" customWidth="1"/>
    <col min="1540" max="1540" width="12" style="1" customWidth="1"/>
    <col min="1541" max="1541" width="11.42578125" style="1" customWidth="1"/>
    <col min="1542" max="1542" width="13.140625" style="1" customWidth="1"/>
    <col min="1543" max="1543" width="11.140625" style="1" customWidth="1"/>
    <col min="1544" max="1544" width="10.7109375" style="1" customWidth="1"/>
    <col min="1545" max="1545" width="9" style="1" customWidth="1"/>
    <col min="1546" max="1546" width="9.140625" style="1" customWidth="1"/>
    <col min="1547" max="1547" width="10" style="1" customWidth="1"/>
    <col min="1548" max="1548" width="1.7109375" style="1" customWidth="1"/>
    <col min="1549" max="1549" width="12.42578125" style="1" customWidth="1"/>
    <col min="1550" max="1550" width="2" style="1" customWidth="1"/>
    <col min="1551" max="1551" width="13.85546875" style="1" customWidth="1"/>
    <col min="1552" max="1552" width="3.85546875" style="1" customWidth="1"/>
    <col min="1553" max="1553" width="12.42578125" style="1" customWidth="1"/>
    <col min="1554" max="1554" width="12.5703125" style="1" customWidth="1"/>
    <col min="1555" max="1555" width="12.7109375" style="1" bestFit="1" customWidth="1"/>
    <col min="1556" max="1558" width="6.85546875" style="1"/>
    <col min="1559" max="1559" width="10.140625" style="1" bestFit="1" customWidth="1"/>
    <col min="1560" max="1560" width="6.85546875" style="1"/>
    <col min="1561" max="1561" width="10.140625" style="1" bestFit="1" customWidth="1"/>
    <col min="1562" max="1792" width="6.85546875" style="1"/>
    <col min="1793" max="1793" width="28.5703125" style="1" customWidth="1"/>
    <col min="1794" max="1794" width="13.5703125" style="1" customWidth="1"/>
    <col min="1795" max="1795" width="11.7109375" style="1" customWidth="1"/>
    <col min="1796" max="1796" width="12" style="1" customWidth="1"/>
    <col min="1797" max="1797" width="11.42578125" style="1" customWidth="1"/>
    <col min="1798" max="1798" width="13.140625" style="1" customWidth="1"/>
    <col min="1799" max="1799" width="11.140625" style="1" customWidth="1"/>
    <col min="1800" max="1800" width="10.7109375" style="1" customWidth="1"/>
    <col min="1801" max="1801" width="9" style="1" customWidth="1"/>
    <col min="1802" max="1802" width="9.140625" style="1" customWidth="1"/>
    <col min="1803" max="1803" width="10" style="1" customWidth="1"/>
    <col min="1804" max="1804" width="1.7109375" style="1" customWidth="1"/>
    <col min="1805" max="1805" width="12.42578125" style="1" customWidth="1"/>
    <col min="1806" max="1806" width="2" style="1" customWidth="1"/>
    <col min="1807" max="1807" width="13.85546875" style="1" customWidth="1"/>
    <col min="1808" max="1808" width="3.85546875" style="1" customWidth="1"/>
    <col min="1809" max="1809" width="12.42578125" style="1" customWidth="1"/>
    <col min="1810" max="1810" width="12.5703125" style="1" customWidth="1"/>
    <col min="1811" max="1811" width="12.7109375" style="1" bestFit="1" customWidth="1"/>
    <col min="1812" max="1814" width="6.85546875" style="1"/>
    <col min="1815" max="1815" width="10.140625" style="1" bestFit="1" customWidth="1"/>
    <col min="1816" max="1816" width="6.85546875" style="1"/>
    <col min="1817" max="1817" width="10.140625" style="1" bestFit="1" customWidth="1"/>
    <col min="1818" max="2048" width="6.85546875" style="1"/>
    <col min="2049" max="2049" width="28.5703125" style="1" customWidth="1"/>
    <col min="2050" max="2050" width="13.5703125" style="1" customWidth="1"/>
    <col min="2051" max="2051" width="11.7109375" style="1" customWidth="1"/>
    <col min="2052" max="2052" width="12" style="1" customWidth="1"/>
    <col min="2053" max="2053" width="11.42578125" style="1" customWidth="1"/>
    <col min="2054" max="2054" width="13.140625" style="1" customWidth="1"/>
    <col min="2055" max="2055" width="11.140625" style="1" customWidth="1"/>
    <col min="2056" max="2056" width="10.7109375" style="1" customWidth="1"/>
    <col min="2057" max="2057" width="9" style="1" customWidth="1"/>
    <col min="2058" max="2058" width="9.140625" style="1" customWidth="1"/>
    <col min="2059" max="2059" width="10" style="1" customWidth="1"/>
    <col min="2060" max="2060" width="1.7109375" style="1" customWidth="1"/>
    <col min="2061" max="2061" width="12.42578125" style="1" customWidth="1"/>
    <col min="2062" max="2062" width="2" style="1" customWidth="1"/>
    <col min="2063" max="2063" width="13.85546875" style="1" customWidth="1"/>
    <col min="2064" max="2064" width="3.85546875" style="1" customWidth="1"/>
    <col min="2065" max="2065" width="12.42578125" style="1" customWidth="1"/>
    <col min="2066" max="2066" width="12.5703125" style="1" customWidth="1"/>
    <col min="2067" max="2067" width="12.7109375" style="1" bestFit="1" customWidth="1"/>
    <col min="2068" max="2070" width="6.85546875" style="1"/>
    <col min="2071" max="2071" width="10.140625" style="1" bestFit="1" customWidth="1"/>
    <col min="2072" max="2072" width="6.85546875" style="1"/>
    <col min="2073" max="2073" width="10.140625" style="1" bestFit="1" customWidth="1"/>
    <col min="2074" max="2304" width="6.85546875" style="1"/>
    <col min="2305" max="2305" width="28.5703125" style="1" customWidth="1"/>
    <col min="2306" max="2306" width="13.5703125" style="1" customWidth="1"/>
    <col min="2307" max="2307" width="11.7109375" style="1" customWidth="1"/>
    <col min="2308" max="2308" width="12" style="1" customWidth="1"/>
    <col min="2309" max="2309" width="11.42578125" style="1" customWidth="1"/>
    <col min="2310" max="2310" width="13.140625" style="1" customWidth="1"/>
    <col min="2311" max="2311" width="11.140625" style="1" customWidth="1"/>
    <col min="2312" max="2312" width="10.7109375" style="1" customWidth="1"/>
    <col min="2313" max="2313" width="9" style="1" customWidth="1"/>
    <col min="2314" max="2314" width="9.140625" style="1" customWidth="1"/>
    <col min="2315" max="2315" width="10" style="1" customWidth="1"/>
    <col min="2316" max="2316" width="1.7109375" style="1" customWidth="1"/>
    <col min="2317" max="2317" width="12.42578125" style="1" customWidth="1"/>
    <col min="2318" max="2318" width="2" style="1" customWidth="1"/>
    <col min="2319" max="2319" width="13.85546875" style="1" customWidth="1"/>
    <col min="2320" max="2320" width="3.85546875" style="1" customWidth="1"/>
    <col min="2321" max="2321" width="12.42578125" style="1" customWidth="1"/>
    <col min="2322" max="2322" width="12.5703125" style="1" customWidth="1"/>
    <col min="2323" max="2323" width="12.7109375" style="1" bestFit="1" customWidth="1"/>
    <col min="2324" max="2326" width="6.85546875" style="1"/>
    <col min="2327" max="2327" width="10.140625" style="1" bestFit="1" customWidth="1"/>
    <col min="2328" max="2328" width="6.85546875" style="1"/>
    <col min="2329" max="2329" width="10.140625" style="1" bestFit="1" customWidth="1"/>
    <col min="2330" max="2560" width="6.85546875" style="1"/>
    <col min="2561" max="2561" width="28.5703125" style="1" customWidth="1"/>
    <col min="2562" max="2562" width="13.5703125" style="1" customWidth="1"/>
    <col min="2563" max="2563" width="11.7109375" style="1" customWidth="1"/>
    <col min="2564" max="2564" width="12" style="1" customWidth="1"/>
    <col min="2565" max="2565" width="11.42578125" style="1" customWidth="1"/>
    <col min="2566" max="2566" width="13.140625" style="1" customWidth="1"/>
    <col min="2567" max="2567" width="11.140625" style="1" customWidth="1"/>
    <col min="2568" max="2568" width="10.7109375" style="1" customWidth="1"/>
    <col min="2569" max="2569" width="9" style="1" customWidth="1"/>
    <col min="2570" max="2570" width="9.140625" style="1" customWidth="1"/>
    <col min="2571" max="2571" width="10" style="1" customWidth="1"/>
    <col min="2572" max="2572" width="1.7109375" style="1" customWidth="1"/>
    <col min="2573" max="2573" width="12.42578125" style="1" customWidth="1"/>
    <col min="2574" max="2574" width="2" style="1" customWidth="1"/>
    <col min="2575" max="2575" width="13.85546875" style="1" customWidth="1"/>
    <col min="2576" max="2576" width="3.85546875" style="1" customWidth="1"/>
    <col min="2577" max="2577" width="12.42578125" style="1" customWidth="1"/>
    <col min="2578" max="2578" width="12.5703125" style="1" customWidth="1"/>
    <col min="2579" max="2579" width="12.7109375" style="1" bestFit="1" customWidth="1"/>
    <col min="2580" max="2582" width="6.85546875" style="1"/>
    <col min="2583" max="2583" width="10.140625" style="1" bestFit="1" customWidth="1"/>
    <col min="2584" max="2584" width="6.85546875" style="1"/>
    <col min="2585" max="2585" width="10.140625" style="1" bestFit="1" customWidth="1"/>
    <col min="2586" max="2816" width="6.85546875" style="1"/>
    <col min="2817" max="2817" width="28.5703125" style="1" customWidth="1"/>
    <col min="2818" max="2818" width="13.5703125" style="1" customWidth="1"/>
    <col min="2819" max="2819" width="11.7109375" style="1" customWidth="1"/>
    <col min="2820" max="2820" width="12" style="1" customWidth="1"/>
    <col min="2821" max="2821" width="11.42578125" style="1" customWidth="1"/>
    <col min="2822" max="2822" width="13.140625" style="1" customWidth="1"/>
    <col min="2823" max="2823" width="11.140625" style="1" customWidth="1"/>
    <col min="2824" max="2824" width="10.7109375" style="1" customWidth="1"/>
    <col min="2825" max="2825" width="9" style="1" customWidth="1"/>
    <col min="2826" max="2826" width="9.140625" style="1" customWidth="1"/>
    <col min="2827" max="2827" width="10" style="1" customWidth="1"/>
    <col min="2828" max="2828" width="1.7109375" style="1" customWidth="1"/>
    <col min="2829" max="2829" width="12.42578125" style="1" customWidth="1"/>
    <col min="2830" max="2830" width="2" style="1" customWidth="1"/>
    <col min="2831" max="2831" width="13.85546875" style="1" customWidth="1"/>
    <col min="2832" max="2832" width="3.85546875" style="1" customWidth="1"/>
    <col min="2833" max="2833" width="12.42578125" style="1" customWidth="1"/>
    <col min="2834" max="2834" width="12.5703125" style="1" customWidth="1"/>
    <col min="2835" max="2835" width="12.7109375" style="1" bestFit="1" customWidth="1"/>
    <col min="2836" max="2838" width="6.85546875" style="1"/>
    <col min="2839" max="2839" width="10.140625" style="1" bestFit="1" customWidth="1"/>
    <col min="2840" max="2840" width="6.85546875" style="1"/>
    <col min="2841" max="2841" width="10.140625" style="1" bestFit="1" customWidth="1"/>
    <col min="2842" max="3072" width="6.85546875" style="1"/>
    <col min="3073" max="3073" width="28.5703125" style="1" customWidth="1"/>
    <col min="3074" max="3074" width="13.5703125" style="1" customWidth="1"/>
    <col min="3075" max="3075" width="11.7109375" style="1" customWidth="1"/>
    <col min="3076" max="3076" width="12" style="1" customWidth="1"/>
    <col min="3077" max="3077" width="11.42578125" style="1" customWidth="1"/>
    <col min="3078" max="3078" width="13.140625" style="1" customWidth="1"/>
    <col min="3079" max="3079" width="11.140625" style="1" customWidth="1"/>
    <col min="3080" max="3080" width="10.7109375" style="1" customWidth="1"/>
    <col min="3081" max="3081" width="9" style="1" customWidth="1"/>
    <col min="3082" max="3082" width="9.140625" style="1" customWidth="1"/>
    <col min="3083" max="3083" width="10" style="1" customWidth="1"/>
    <col min="3084" max="3084" width="1.7109375" style="1" customWidth="1"/>
    <col min="3085" max="3085" width="12.42578125" style="1" customWidth="1"/>
    <col min="3086" max="3086" width="2" style="1" customWidth="1"/>
    <col min="3087" max="3087" width="13.85546875" style="1" customWidth="1"/>
    <col min="3088" max="3088" width="3.85546875" style="1" customWidth="1"/>
    <col min="3089" max="3089" width="12.42578125" style="1" customWidth="1"/>
    <col min="3090" max="3090" width="12.5703125" style="1" customWidth="1"/>
    <col min="3091" max="3091" width="12.7109375" style="1" bestFit="1" customWidth="1"/>
    <col min="3092" max="3094" width="6.85546875" style="1"/>
    <col min="3095" max="3095" width="10.140625" style="1" bestFit="1" customWidth="1"/>
    <col min="3096" max="3096" width="6.85546875" style="1"/>
    <col min="3097" max="3097" width="10.140625" style="1" bestFit="1" customWidth="1"/>
    <col min="3098" max="3328" width="6.85546875" style="1"/>
    <col min="3329" max="3329" width="28.5703125" style="1" customWidth="1"/>
    <col min="3330" max="3330" width="13.5703125" style="1" customWidth="1"/>
    <col min="3331" max="3331" width="11.7109375" style="1" customWidth="1"/>
    <col min="3332" max="3332" width="12" style="1" customWidth="1"/>
    <col min="3333" max="3333" width="11.42578125" style="1" customWidth="1"/>
    <col min="3334" max="3334" width="13.140625" style="1" customWidth="1"/>
    <col min="3335" max="3335" width="11.140625" style="1" customWidth="1"/>
    <col min="3336" max="3336" width="10.7109375" style="1" customWidth="1"/>
    <col min="3337" max="3337" width="9" style="1" customWidth="1"/>
    <col min="3338" max="3338" width="9.140625" style="1" customWidth="1"/>
    <col min="3339" max="3339" width="10" style="1" customWidth="1"/>
    <col min="3340" max="3340" width="1.7109375" style="1" customWidth="1"/>
    <col min="3341" max="3341" width="12.42578125" style="1" customWidth="1"/>
    <col min="3342" max="3342" width="2" style="1" customWidth="1"/>
    <col min="3343" max="3343" width="13.85546875" style="1" customWidth="1"/>
    <col min="3344" max="3344" width="3.85546875" style="1" customWidth="1"/>
    <col min="3345" max="3345" width="12.42578125" style="1" customWidth="1"/>
    <col min="3346" max="3346" width="12.5703125" style="1" customWidth="1"/>
    <col min="3347" max="3347" width="12.7109375" style="1" bestFit="1" customWidth="1"/>
    <col min="3348" max="3350" width="6.85546875" style="1"/>
    <col min="3351" max="3351" width="10.140625" style="1" bestFit="1" customWidth="1"/>
    <col min="3352" max="3352" width="6.85546875" style="1"/>
    <col min="3353" max="3353" width="10.140625" style="1" bestFit="1" customWidth="1"/>
    <col min="3354" max="3584" width="6.85546875" style="1"/>
    <col min="3585" max="3585" width="28.5703125" style="1" customWidth="1"/>
    <col min="3586" max="3586" width="13.5703125" style="1" customWidth="1"/>
    <col min="3587" max="3587" width="11.7109375" style="1" customWidth="1"/>
    <col min="3588" max="3588" width="12" style="1" customWidth="1"/>
    <col min="3589" max="3589" width="11.42578125" style="1" customWidth="1"/>
    <col min="3590" max="3590" width="13.140625" style="1" customWidth="1"/>
    <col min="3591" max="3591" width="11.140625" style="1" customWidth="1"/>
    <col min="3592" max="3592" width="10.7109375" style="1" customWidth="1"/>
    <col min="3593" max="3593" width="9" style="1" customWidth="1"/>
    <col min="3594" max="3594" width="9.140625" style="1" customWidth="1"/>
    <col min="3595" max="3595" width="10" style="1" customWidth="1"/>
    <col min="3596" max="3596" width="1.7109375" style="1" customWidth="1"/>
    <col min="3597" max="3597" width="12.42578125" style="1" customWidth="1"/>
    <col min="3598" max="3598" width="2" style="1" customWidth="1"/>
    <col min="3599" max="3599" width="13.85546875" style="1" customWidth="1"/>
    <col min="3600" max="3600" width="3.85546875" style="1" customWidth="1"/>
    <col min="3601" max="3601" width="12.42578125" style="1" customWidth="1"/>
    <col min="3602" max="3602" width="12.5703125" style="1" customWidth="1"/>
    <col min="3603" max="3603" width="12.7109375" style="1" bestFit="1" customWidth="1"/>
    <col min="3604" max="3606" width="6.85546875" style="1"/>
    <col min="3607" max="3607" width="10.140625" style="1" bestFit="1" customWidth="1"/>
    <col min="3608" max="3608" width="6.85546875" style="1"/>
    <col min="3609" max="3609" width="10.140625" style="1" bestFit="1" customWidth="1"/>
    <col min="3610" max="3840" width="6.85546875" style="1"/>
    <col min="3841" max="3841" width="28.5703125" style="1" customWidth="1"/>
    <col min="3842" max="3842" width="13.5703125" style="1" customWidth="1"/>
    <col min="3843" max="3843" width="11.7109375" style="1" customWidth="1"/>
    <col min="3844" max="3844" width="12" style="1" customWidth="1"/>
    <col min="3845" max="3845" width="11.42578125" style="1" customWidth="1"/>
    <col min="3846" max="3846" width="13.140625" style="1" customWidth="1"/>
    <col min="3847" max="3847" width="11.140625" style="1" customWidth="1"/>
    <col min="3848" max="3848" width="10.7109375" style="1" customWidth="1"/>
    <col min="3849" max="3849" width="9" style="1" customWidth="1"/>
    <col min="3850" max="3850" width="9.140625" style="1" customWidth="1"/>
    <col min="3851" max="3851" width="10" style="1" customWidth="1"/>
    <col min="3852" max="3852" width="1.7109375" style="1" customWidth="1"/>
    <col min="3853" max="3853" width="12.42578125" style="1" customWidth="1"/>
    <col min="3854" max="3854" width="2" style="1" customWidth="1"/>
    <col min="3855" max="3855" width="13.85546875" style="1" customWidth="1"/>
    <col min="3856" max="3856" width="3.85546875" style="1" customWidth="1"/>
    <col min="3857" max="3857" width="12.42578125" style="1" customWidth="1"/>
    <col min="3858" max="3858" width="12.5703125" style="1" customWidth="1"/>
    <col min="3859" max="3859" width="12.7109375" style="1" bestFit="1" customWidth="1"/>
    <col min="3860" max="3862" width="6.85546875" style="1"/>
    <col min="3863" max="3863" width="10.140625" style="1" bestFit="1" customWidth="1"/>
    <col min="3864" max="3864" width="6.85546875" style="1"/>
    <col min="3865" max="3865" width="10.140625" style="1" bestFit="1" customWidth="1"/>
    <col min="3866" max="4096" width="6.85546875" style="1"/>
    <col min="4097" max="4097" width="28.5703125" style="1" customWidth="1"/>
    <col min="4098" max="4098" width="13.5703125" style="1" customWidth="1"/>
    <col min="4099" max="4099" width="11.7109375" style="1" customWidth="1"/>
    <col min="4100" max="4100" width="12" style="1" customWidth="1"/>
    <col min="4101" max="4101" width="11.42578125" style="1" customWidth="1"/>
    <col min="4102" max="4102" width="13.140625" style="1" customWidth="1"/>
    <col min="4103" max="4103" width="11.140625" style="1" customWidth="1"/>
    <col min="4104" max="4104" width="10.7109375" style="1" customWidth="1"/>
    <col min="4105" max="4105" width="9" style="1" customWidth="1"/>
    <col min="4106" max="4106" width="9.140625" style="1" customWidth="1"/>
    <col min="4107" max="4107" width="10" style="1" customWidth="1"/>
    <col min="4108" max="4108" width="1.7109375" style="1" customWidth="1"/>
    <col min="4109" max="4109" width="12.42578125" style="1" customWidth="1"/>
    <col min="4110" max="4110" width="2" style="1" customWidth="1"/>
    <col min="4111" max="4111" width="13.85546875" style="1" customWidth="1"/>
    <col min="4112" max="4112" width="3.85546875" style="1" customWidth="1"/>
    <col min="4113" max="4113" width="12.42578125" style="1" customWidth="1"/>
    <col min="4114" max="4114" width="12.5703125" style="1" customWidth="1"/>
    <col min="4115" max="4115" width="12.7109375" style="1" bestFit="1" customWidth="1"/>
    <col min="4116" max="4118" width="6.85546875" style="1"/>
    <col min="4119" max="4119" width="10.140625" style="1" bestFit="1" customWidth="1"/>
    <col min="4120" max="4120" width="6.85546875" style="1"/>
    <col min="4121" max="4121" width="10.140625" style="1" bestFit="1" customWidth="1"/>
    <col min="4122" max="4352" width="6.85546875" style="1"/>
    <col min="4353" max="4353" width="28.5703125" style="1" customWidth="1"/>
    <col min="4354" max="4354" width="13.5703125" style="1" customWidth="1"/>
    <col min="4355" max="4355" width="11.7109375" style="1" customWidth="1"/>
    <col min="4356" max="4356" width="12" style="1" customWidth="1"/>
    <col min="4357" max="4357" width="11.42578125" style="1" customWidth="1"/>
    <col min="4358" max="4358" width="13.140625" style="1" customWidth="1"/>
    <col min="4359" max="4359" width="11.140625" style="1" customWidth="1"/>
    <col min="4360" max="4360" width="10.7109375" style="1" customWidth="1"/>
    <col min="4361" max="4361" width="9" style="1" customWidth="1"/>
    <col min="4362" max="4362" width="9.140625" style="1" customWidth="1"/>
    <col min="4363" max="4363" width="10" style="1" customWidth="1"/>
    <col min="4364" max="4364" width="1.7109375" style="1" customWidth="1"/>
    <col min="4365" max="4365" width="12.42578125" style="1" customWidth="1"/>
    <col min="4366" max="4366" width="2" style="1" customWidth="1"/>
    <col min="4367" max="4367" width="13.85546875" style="1" customWidth="1"/>
    <col min="4368" max="4368" width="3.85546875" style="1" customWidth="1"/>
    <col min="4369" max="4369" width="12.42578125" style="1" customWidth="1"/>
    <col min="4370" max="4370" width="12.5703125" style="1" customWidth="1"/>
    <col min="4371" max="4371" width="12.7109375" style="1" bestFit="1" customWidth="1"/>
    <col min="4372" max="4374" width="6.85546875" style="1"/>
    <col min="4375" max="4375" width="10.140625" style="1" bestFit="1" customWidth="1"/>
    <col min="4376" max="4376" width="6.85546875" style="1"/>
    <col min="4377" max="4377" width="10.140625" style="1" bestFit="1" customWidth="1"/>
    <col min="4378" max="4608" width="6.85546875" style="1"/>
    <col min="4609" max="4609" width="28.5703125" style="1" customWidth="1"/>
    <col min="4610" max="4610" width="13.5703125" style="1" customWidth="1"/>
    <col min="4611" max="4611" width="11.7109375" style="1" customWidth="1"/>
    <col min="4612" max="4612" width="12" style="1" customWidth="1"/>
    <col min="4613" max="4613" width="11.42578125" style="1" customWidth="1"/>
    <col min="4614" max="4614" width="13.140625" style="1" customWidth="1"/>
    <col min="4615" max="4615" width="11.140625" style="1" customWidth="1"/>
    <col min="4616" max="4616" width="10.7109375" style="1" customWidth="1"/>
    <col min="4617" max="4617" width="9" style="1" customWidth="1"/>
    <col min="4618" max="4618" width="9.140625" style="1" customWidth="1"/>
    <col min="4619" max="4619" width="10" style="1" customWidth="1"/>
    <col min="4620" max="4620" width="1.7109375" style="1" customWidth="1"/>
    <col min="4621" max="4621" width="12.42578125" style="1" customWidth="1"/>
    <col min="4622" max="4622" width="2" style="1" customWidth="1"/>
    <col min="4623" max="4623" width="13.85546875" style="1" customWidth="1"/>
    <col min="4624" max="4624" width="3.85546875" style="1" customWidth="1"/>
    <col min="4625" max="4625" width="12.42578125" style="1" customWidth="1"/>
    <col min="4626" max="4626" width="12.5703125" style="1" customWidth="1"/>
    <col min="4627" max="4627" width="12.7109375" style="1" bestFit="1" customWidth="1"/>
    <col min="4628" max="4630" width="6.85546875" style="1"/>
    <col min="4631" max="4631" width="10.140625" style="1" bestFit="1" customWidth="1"/>
    <col min="4632" max="4632" width="6.85546875" style="1"/>
    <col min="4633" max="4633" width="10.140625" style="1" bestFit="1" customWidth="1"/>
    <col min="4634" max="4864" width="6.85546875" style="1"/>
    <col min="4865" max="4865" width="28.5703125" style="1" customWidth="1"/>
    <col min="4866" max="4866" width="13.5703125" style="1" customWidth="1"/>
    <col min="4867" max="4867" width="11.7109375" style="1" customWidth="1"/>
    <col min="4868" max="4868" width="12" style="1" customWidth="1"/>
    <col min="4869" max="4869" width="11.42578125" style="1" customWidth="1"/>
    <col min="4870" max="4870" width="13.140625" style="1" customWidth="1"/>
    <col min="4871" max="4871" width="11.140625" style="1" customWidth="1"/>
    <col min="4872" max="4872" width="10.7109375" style="1" customWidth="1"/>
    <col min="4873" max="4873" width="9" style="1" customWidth="1"/>
    <col min="4874" max="4874" width="9.140625" style="1" customWidth="1"/>
    <col min="4875" max="4875" width="10" style="1" customWidth="1"/>
    <col min="4876" max="4876" width="1.7109375" style="1" customWidth="1"/>
    <col min="4877" max="4877" width="12.42578125" style="1" customWidth="1"/>
    <col min="4878" max="4878" width="2" style="1" customWidth="1"/>
    <col min="4879" max="4879" width="13.85546875" style="1" customWidth="1"/>
    <col min="4880" max="4880" width="3.85546875" style="1" customWidth="1"/>
    <col min="4881" max="4881" width="12.42578125" style="1" customWidth="1"/>
    <col min="4882" max="4882" width="12.5703125" style="1" customWidth="1"/>
    <col min="4883" max="4883" width="12.7109375" style="1" bestFit="1" customWidth="1"/>
    <col min="4884" max="4886" width="6.85546875" style="1"/>
    <col min="4887" max="4887" width="10.140625" style="1" bestFit="1" customWidth="1"/>
    <col min="4888" max="4888" width="6.85546875" style="1"/>
    <col min="4889" max="4889" width="10.140625" style="1" bestFit="1" customWidth="1"/>
    <col min="4890" max="5120" width="6.85546875" style="1"/>
    <col min="5121" max="5121" width="28.5703125" style="1" customWidth="1"/>
    <col min="5122" max="5122" width="13.5703125" style="1" customWidth="1"/>
    <col min="5123" max="5123" width="11.7109375" style="1" customWidth="1"/>
    <col min="5124" max="5124" width="12" style="1" customWidth="1"/>
    <col min="5125" max="5125" width="11.42578125" style="1" customWidth="1"/>
    <col min="5126" max="5126" width="13.140625" style="1" customWidth="1"/>
    <col min="5127" max="5127" width="11.140625" style="1" customWidth="1"/>
    <col min="5128" max="5128" width="10.7109375" style="1" customWidth="1"/>
    <col min="5129" max="5129" width="9" style="1" customWidth="1"/>
    <col min="5130" max="5130" width="9.140625" style="1" customWidth="1"/>
    <col min="5131" max="5131" width="10" style="1" customWidth="1"/>
    <col min="5132" max="5132" width="1.7109375" style="1" customWidth="1"/>
    <col min="5133" max="5133" width="12.42578125" style="1" customWidth="1"/>
    <col min="5134" max="5134" width="2" style="1" customWidth="1"/>
    <col min="5135" max="5135" width="13.85546875" style="1" customWidth="1"/>
    <col min="5136" max="5136" width="3.85546875" style="1" customWidth="1"/>
    <col min="5137" max="5137" width="12.42578125" style="1" customWidth="1"/>
    <col min="5138" max="5138" width="12.5703125" style="1" customWidth="1"/>
    <col min="5139" max="5139" width="12.7109375" style="1" bestFit="1" customWidth="1"/>
    <col min="5140" max="5142" width="6.85546875" style="1"/>
    <col min="5143" max="5143" width="10.140625" style="1" bestFit="1" customWidth="1"/>
    <col min="5144" max="5144" width="6.85546875" style="1"/>
    <col min="5145" max="5145" width="10.140625" style="1" bestFit="1" customWidth="1"/>
    <col min="5146" max="5376" width="6.85546875" style="1"/>
    <col min="5377" max="5377" width="28.5703125" style="1" customWidth="1"/>
    <col min="5378" max="5378" width="13.5703125" style="1" customWidth="1"/>
    <col min="5379" max="5379" width="11.7109375" style="1" customWidth="1"/>
    <col min="5380" max="5380" width="12" style="1" customWidth="1"/>
    <col min="5381" max="5381" width="11.42578125" style="1" customWidth="1"/>
    <col min="5382" max="5382" width="13.140625" style="1" customWidth="1"/>
    <col min="5383" max="5383" width="11.140625" style="1" customWidth="1"/>
    <col min="5384" max="5384" width="10.7109375" style="1" customWidth="1"/>
    <col min="5385" max="5385" width="9" style="1" customWidth="1"/>
    <col min="5386" max="5386" width="9.140625" style="1" customWidth="1"/>
    <col min="5387" max="5387" width="10" style="1" customWidth="1"/>
    <col min="5388" max="5388" width="1.7109375" style="1" customWidth="1"/>
    <col min="5389" max="5389" width="12.42578125" style="1" customWidth="1"/>
    <col min="5390" max="5390" width="2" style="1" customWidth="1"/>
    <col min="5391" max="5391" width="13.85546875" style="1" customWidth="1"/>
    <col min="5392" max="5392" width="3.85546875" style="1" customWidth="1"/>
    <col min="5393" max="5393" width="12.42578125" style="1" customWidth="1"/>
    <col min="5394" max="5394" width="12.5703125" style="1" customWidth="1"/>
    <col min="5395" max="5395" width="12.7109375" style="1" bestFit="1" customWidth="1"/>
    <col min="5396" max="5398" width="6.85546875" style="1"/>
    <col min="5399" max="5399" width="10.140625" style="1" bestFit="1" customWidth="1"/>
    <col min="5400" max="5400" width="6.85546875" style="1"/>
    <col min="5401" max="5401" width="10.140625" style="1" bestFit="1" customWidth="1"/>
    <col min="5402" max="5632" width="6.85546875" style="1"/>
    <col min="5633" max="5633" width="28.5703125" style="1" customWidth="1"/>
    <col min="5634" max="5634" width="13.5703125" style="1" customWidth="1"/>
    <col min="5635" max="5635" width="11.7109375" style="1" customWidth="1"/>
    <col min="5636" max="5636" width="12" style="1" customWidth="1"/>
    <col min="5637" max="5637" width="11.42578125" style="1" customWidth="1"/>
    <col min="5638" max="5638" width="13.140625" style="1" customWidth="1"/>
    <col min="5639" max="5639" width="11.140625" style="1" customWidth="1"/>
    <col min="5640" max="5640" width="10.7109375" style="1" customWidth="1"/>
    <col min="5641" max="5641" width="9" style="1" customWidth="1"/>
    <col min="5642" max="5642" width="9.140625" style="1" customWidth="1"/>
    <col min="5643" max="5643" width="10" style="1" customWidth="1"/>
    <col min="5644" max="5644" width="1.7109375" style="1" customWidth="1"/>
    <col min="5645" max="5645" width="12.42578125" style="1" customWidth="1"/>
    <col min="5646" max="5646" width="2" style="1" customWidth="1"/>
    <col min="5647" max="5647" width="13.85546875" style="1" customWidth="1"/>
    <col min="5648" max="5648" width="3.85546875" style="1" customWidth="1"/>
    <col min="5649" max="5649" width="12.42578125" style="1" customWidth="1"/>
    <col min="5650" max="5650" width="12.5703125" style="1" customWidth="1"/>
    <col min="5651" max="5651" width="12.7109375" style="1" bestFit="1" customWidth="1"/>
    <col min="5652" max="5654" width="6.85546875" style="1"/>
    <col min="5655" max="5655" width="10.140625" style="1" bestFit="1" customWidth="1"/>
    <col min="5656" max="5656" width="6.85546875" style="1"/>
    <col min="5657" max="5657" width="10.140625" style="1" bestFit="1" customWidth="1"/>
    <col min="5658" max="5888" width="6.85546875" style="1"/>
    <col min="5889" max="5889" width="28.5703125" style="1" customWidth="1"/>
    <col min="5890" max="5890" width="13.5703125" style="1" customWidth="1"/>
    <col min="5891" max="5891" width="11.7109375" style="1" customWidth="1"/>
    <col min="5892" max="5892" width="12" style="1" customWidth="1"/>
    <col min="5893" max="5893" width="11.42578125" style="1" customWidth="1"/>
    <col min="5894" max="5894" width="13.140625" style="1" customWidth="1"/>
    <col min="5895" max="5895" width="11.140625" style="1" customWidth="1"/>
    <col min="5896" max="5896" width="10.7109375" style="1" customWidth="1"/>
    <col min="5897" max="5897" width="9" style="1" customWidth="1"/>
    <col min="5898" max="5898" width="9.140625" style="1" customWidth="1"/>
    <col min="5899" max="5899" width="10" style="1" customWidth="1"/>
    <col min="5900" max="5900" width="1.7109375" style="1" customWidth="1"/>
    <col min="5901" max="5901" width="12.42578125" style="1" customWidth="1"/>
    <col min="5902" max="5902" width="2" style="1" customWidth="1"/>
    <col min="5903" max="5903" width="13.85546875" style="1" customWidth="1"/>
    <col min="5904" max="5904" width="3.85546875" style="1" customWidth="1"/>
    <col min="5905" max="5905" width="12.42578125" style="1" customWidth="1"/>
    <col min="5906" max="5906" width="12.5703125" style="1" customWidth="1"/>
    <col min="5907" max="5907" width="12.7109375" style="1" bestFit="1" customWidth="1"/>
    <col min="5908" max="5910" width="6.85546875" style="1"/>
    <col min="5911" max="5911" width="10.140625" style="1" bestFit="1" customWidth="1"/>
    <col min="5912" max="5912" width="6.85546875" style="1"/>
    <col min="5913" max="5913" width="10.140625" style="1" bestFit="1" customWidth="1"/>
    <col min="5914" max="6144" width="6.85546875" style="1"/>
    <col min="6145" max="6145" width="28.5703125" style="1" customWidth="1"/>
    <col min="6146" max="6146" width="13.5703125" style="1" customWidth="1"/>
    <col min="6147" max="6147" width="11.7109375" style="1" customWidth="1"/>
    <col min="6148" max="6148" width="12" style="1" customWidth="1"/>
    <col min="6149" max="6149" width="11.42578125" style="1" customWidth="1"/>
    <col min="6150" max="6150" width="13.140625" style="1" customWidth="1"/>
    <col min="6151" max="6151" width="11.140625" style="1" customWidth="1"/>
    <col min="6152" max="6152" width="10.7109375" style="1" customWidth="1"/>
    <col min="6153" max="6153" width="9" style="1" customWidth="1"/>
    <col min="6154" max="6154" width="9.140625" style="1" customWidth="1"/>
    <col min="6155" max="6155" width="10" style="1" customWidth="1"/>
    <col min="6156" max="6156" width="1.7109375" style="1" customWidth="1"/>
    <col min="6157" max="6157" width="12.42578125" style="1" customWidth="1"/>
    <col min="6158" max="6158" width="2" style="1" customWidth="1"/>
    <col min="6159" max="6159" width="13.85546875" style="1" customWidth="1"/>
    <col min="6160" max="6160" width="3.85546875" style="1" customWidth="1"/>
    <col min="6161" max="6161" width="12.42578125" style="1" customWidth="1"/>
    <col min="6162" max="6162" width="12.5703125" style="1" customWidth="1"/>
    <col min="6163" max="6163" width="12.7109375" style="1" bestFit="1" customWidth="1"/>
    <col min="6164" max="6166" width="6.85546875" style="1"/>
    <col min="6167" max="6167" width="10.140625" style="1" bestFit="1" customWidth="1"/>
    <col min="6168" max="6168" width="6.85546875" style="1"/>
    <col min="6169" max="6169" width="10.140625" style="1" bestFit="1" customWidth="1"/>
    <col min="6170" max="6400" width="6.85546875" style="1"/>
    <col min="6401" max="6401" width="28.5703125" style="1" customWidth="1"/>
    <col min="6402" max="6402" width="13.5703125" style="1" customWidth="1"/>
    <col min="6403" max="6403" width="11.7109375" style="1" customWidth="1"/>
    <col min="6404" max="6404" width="12" style="1" customWidth="1"/>
    <col min="6405" max="6405" width="11.42578125" style="1" customWidth="1"/>
    <col min="6406" max="6406" width="13.140625" style="1" customWidth="1"/>
    <col min="6407" max="6407" width="11.140625" style="1" customWidth="1"/>
    <col min="6408" max="6408" width="10.7109375" style="1" customWidth="1"/>
    <col min="6409" max="6409" width="9" style="1" customWidth="1"/>
    <col min="6410" max="6410" width="9.140625" style="1" customWidth="1"/>
    <col min="6411" max="6411" width="10" style="1" customWidth="1"/>
    <col min="6412" max="6412" width="1.7109375" style="1" customWidth="1"/>
    <col min="6413" max="6413" width="12.42578125" style="1" customWidth="1"/>
    <col min="6414" max="6414" width="2" style="1" customWidth="1"/>
    <col min="6415" max="6415" width="13.85546875" style="1" customWidth="1"/>
    <col min="6416" max="6416" width="3.85546875" style="1" customWidth="1"/>
    <col min="6417" max="6417" width="12.42578125" style="1" customWidth="1"/>
    <col min="6418" max="6418" width="12.5703125" style="1" customWidth="1"/>
    <col min="6419" max="6419" width="12.7109375" style="1" bestFit="1" customWidth="1"/>
    <col min="6420" max="6422" width="6.85546875" style="1"/>
    <col min="6423" max="6423" width="10.140625" style="1" bestFit="1" customWidth="1"/>
    <col min="6424" max="6424" width="6.85546875" style="1"/>
    <col min="6425" max="6425" width="10.140625" style="1" bestFit="1" customWidth="1"/>
    <col min="6426" max="6656" width="6.85546875" style="1"/>
    <col min="6657" max="6657" width="28.5703125" style="1" customWidth="1"/>
    <col min="6658" max="6658" width="13.5703125" style="1" customWidth="1"/>
    <col min="6659" max="6659" width="11.7109375" style="1" customWidth="1"/>
    <col min="6660" max="6660" width="12" style="1" customWidth="1"/>
    <col min="6661" max="6661" width="11.42578125" style="1" customWidth="1"/>
    <col min="6662" max="6662" width="13.140625" style="1" customWidth="1"/>
    <col min="6663" max="6663" width="11.140625" style="1" customWidth="1"/>
    <col min="6664" max="6664" width="10.7109375" style="1" customWidth="1"/>
    <col min="6665" max="6665" width="9" style="1" customWidth="1"/>
    <col min="6666" max="6666" width="9.140625" style="1" customWidth="1"/>
    <col min="6667" max="6667" width="10" style="1" customWidth="1"/>
    <col min="6668" max="6668" width="1.7109375" style="1" customWidth="1"/>
    <col min="6669" max="6669" width="12.42578125" style="1" customWidth="1"/>
    <col min="6670" max="6670" width="2" style="1" customWidth="1"/>
    <col min="6671" max="6671" width="13.85546875" style="1" customWidth="1"/>
    <col min="6672" max="6672" width="3.85546875" style="1" customWidth="1"/>
    <col min="6673" max="6673" width="12.42578125" style="1" customWidth="1"/>
    <col min="6674" max="6674" width="12.5703125" style="1" customWidth="1"/>
    <col min="6675" max="6675" width="12.7109375" style="1" bestFit="1" customWidth="1"/>
    <col min="6676" max="6678" width="6.85546875" style="1"/>
    <col min="6679" max="6679" width="10.140625" style="1" bestFit="1" customWidth="1"/>
    <col min="6680" max="6680" width="6.85546875" style="1"/>
    <col min="6681" max="6681" width="10.140625" style="1" bestFit="1" customWidth="1"/>
    <col min="6682" max="6912" width="6.85546875" style="1"/>
    <col min="6913" max="6913" width="28.5703125" style="1" customWidth="1"/>
    <col min="6914" max="6914" width="13.5703125" style="1" customWidth="1"/>
    <col min="6915" max="6915" width="11.7109375" style="1" customWidth="1"/>
    <col min="6916" max="6916" width="12" style="1" customWidth="1"/>
    <col min="6917" max="6917" width="11.42578125" style="1" customWidth="1"/>
    <col min="6918" max="6918" width="13.140625" style="1" customWidth="1"/>
    <col min="6919" max="6919" width="11.140625" style="1" customWidth="1"/>
    <col min="6920" max="6920" width="10.7109375" style="1" customWidth="1"/>
    <col min="6921" max="6921" width="9" style="1" customWidth="1"/>
    <col min="6922" max="6922" width="9.140625" style="1" customWidth="1"/>
    <col min="6923" max="6923" width="10" style="1" customWidth="1"/>
    <col min="6924" max="6924" width="1.7109375" style="1" customWidth="1"/>
    <col min="6925" max="6925" width="12.42578125" style="1" customWidth="1"/>
    <col min="6926" max="6926" width="2" style="1" customWidth="1"/>
    <col min="6927" max="6927" width="13.85546875" style="1" customWidth="1"/>
    <col min="6928" max="6928" width="3.85546875" style="1" customWidth="1"/>
    <col min="6929" max="6929" width="12.42578125" style="1" customWidth="1"/>
    <col min="6930" max="6930" width="12.5703125" style="1" customWidth="1"/>
    <col min="6931" max="6931" width="12.7109375" style="1" bestFit="1" customWidth="1"/>
    <col min="6932" max="6934" width="6.85546875" style="1"/>
    <col min="6935" max="6935" width="10.140625" style="1" bestFit="1" customWidth="1"/>
    <col min="6936" max="6936" width="6.85546875" style="1"/>
    <col min="6937" max="6937" width="10.140625" style="1" bestFit="1" customWidth="1"/>
    <col min="6938" max="7168" width="6.85546875" style="1"/>
    <col min="7169" max="7169" width="28.5703125" style="1" customWidth="1"/>
    <col min="7170" max="7170" width="13.5703125" style="1" customWidth="1"/>
    <col min="7171" max="7171" width="11.7109375" style="1" customWidth="1"/>
    <col min="7172" max="7172" width="12" style="1" customWidth="1"/>
    <col min="7173" max="7173" width="11.42578125" style="1" customWidth="1"/>
    <col min="7174" max="7174" width="13.140625" style="1" customWidth="1"/>
    <col min="7175" max="7175" width="11.140625" style="1" customWidth="1"/>
    <col min="7176" max="7176" width="10.7109375" style="1" customWidth="1"/>
    <col min="7177" max="7177" width="9" style="1" customWidth="1"/>
    <col min="7178" max="7178" width="9.140625" style="1" customWidth="1"/>
    <col min="7179" max="7179" width="10" style="1" customWidth="1"/>
    <col min="7180" max="7180" width="1.7109375" style="1" customWidth="1"/>
    <col min="7181" max="7181" width="12.42578125" style="1" customWidth="1"/>
    <col min="7182" max="7182" width="2" style="1" customWidth="1"/>
    <col min="7183" max="7183" width="13.85546875" style="1" customWidth="1"/>
    <col min="7184" max="7184" width="3.85546875" style="1" customWidth="1"/>
    <col min="7185" max="7185" width="12.42578125" style="1" customWidth="1"/>
    <col min="7186" max="7186" width="12.5703125" style="1" customWidth="1"/>
    <col min="7187" max="7187" width="12.7109375" style="1" bestFit="1" customWidth="1"/>
    <col min="7188" max="7190" width="6.85546875" style="1"/>
    <col min="7191" max="7191" width="10.140625" style="1" bestFit="1" customWidth="1"/>
    <col min="7192" max="7192" width="6.85546875" style="1"/>
    <col min="7193" max="7193" width="10.140625" style="1" bestFit="1" customWidth="1"/>
    <col min="7194" max="7424" width="6.85546875" style="1"/>
    <col min="7425" max="7425" width="28.5703125" style="1" customWidth="1"/>
    <col min="7426" max="7426" width="13.5703125" style="1" customWidth="1"/>
    <col min="7427" max="7427" width="11.7109375" style="1" customWidth="1"/>
    <col min="7428" max="7428" width="12" style="1" customWidth="1"/>
    <col min="7429" max="7429" width="11.42578125" style="1" customWidth="1"/>
    <col min="7430" max="7430" width="13.140625" style="1" customWidth="1"/>
    <col min="7431" max="7431" width="11.140625" style="1" customWidth="1"/>
    <col min="7432" max="7432" width="10.7109375" style="1" customWidth="1"/>
    <col min="7433" max="7433" width="9" style="1" customWidth="1"/>
    <col min="7434" max="7434" width="9.140625" style="1" customWidth="1"/>
    <col min="7435" max="7435" width="10" style="1" customWidth="1"/>
    <col min="7436" max="7436" width="1.7109375" style="1" customWidth="1"/>
    <col min="7437" max="7437" width="12.42578125" style="1" customWidth="1"/>
    <col min="7438" max="7438" width="2" style="1" customWidth="1"/>
    <col min="7439" max="7439" width="13.85546875" style="1" customWidth="1"/>
    <col min="7440" max="7440" width="3.85546875" style="1" customWidth="1"/>
    <col min="7441" max="7441" width="12.42578125" style="1" customWidth="1"/>
    <col min="7442" max="7442" width="12.5703125" style="1" customWidth="1"/>
    <col min="7443" max="7443" width="12.7109375" style="1" bestFit="1" customWidth="1"/>
    <col min="7444" max="7446" width="6.85546875" style="1"/>
    <col min="7447" max="7447" width="10.140625" style="1" bestFit="1" customWidth="1"/>
    <col min="7448" max="7448" width="6.85546875" style="1"/>
    <col min="7449" max="7449" width="10.140625" style="1" bestFit="1" customWidth="1"/>
    <col min="7450" max="7680" width="6.85546875" style="1"/>
    <col min="7681" max="7681" width="28.5703125" style="1" customWidth="1"/>
    <col min="7682" max="7682" width="13.5703125" style="1" customWidth="1"/>
    <col min="7683" max="7683" width="11.7109375" style="1" customWidth="1"/>
    <col min="7684" max="7684" width="12" style="1" customWidth="1"/>
    <col min="7685" max="7685" width="11.42578125" style="1" customWidth="1"/>
    <col min="7686" max="7686" width="13.140625" style="1" customWidth="1"/>
    <col min="7687" max="7687" width="11.140625" style="1" customWidth="1"/>
    <col min="7688" max="7688" width="10.7109375" style="1" customWidth="1"/>
    <col min="7689" max="7689" width="9" style="1" customWidth="1"/>
    <col min="7690" max="7690" width="9.140625" style="1" customWidth="1"/>
    <col min="7691" max="7691" width="10" style="1" customWidth="1"/>
    <col min="7692" max="7692" width="1.7109375" style="1" customWidth="1"/>
    <col min="7693" max="7693" width="12.42578125" style="1" customWidth="1"/>
    <col min="7694" max="7694" width="2" style="1" customWidth="1"/>
    <col min="7695" max="7695" width="13.85546875" style="1" customWidth="1"/>
    <col min="7696" max="7696" width="3.85546875" style="1" customWidth="1"/>
    <col min="7697" max="7697" width="12.42578125" style="1" customWidth="1"/>
    <col min="7698" max="7698" width="12.5703125" style="1" customWidth="1"/>
    <col min="7699" max="7699" width="12.7109375" style="1" bestFit="1" customWidth="1"/>
    <col min="7700" max="7702" width="6.85546875" style="1"/>
    <col min="7703" max="7703" width="10.140625" style="1" bestFit="1" customWidth="1"/>
    <col min="7704" max="7704" width="6.85546875" style="1"/>
    <col min="7705" max="7705" width="10.140625" style="1" bestFit="1" customWidth="1"/>
    <col min="7706" max="7936" width="6.85546875" style="1"/>
    <col min="7937" max="7937" width="28.5703125" style="1" customWidth="1"/>
    <col min="7938" max="7938" width="13.5703125" style="1" customWidth="1"/>
    <col min="7939" max="7939" width="11.7109375" style="1" customWidth="1"/>
    <col min="7940" max="7940" width="12" style="1" customWidth="1"/>
    <col min="7941" max="7941" width="11.42578125" style="1" customWidth="1"/>
    <col min="7942" max="7942" width="13.140625" style="1" customWidth="1"/>
    <col min="7943" max="7943" width="11.140625" style="1" customWidth="1"/>
    <col min="7944" max="7944" width="10.7109375" style="1" customWidth="1"/>
    <col min="7945" max="7945" width="9" style="1" customWidth="1"/>
    <col min="7946" max="7946" width="9.140625" style="1" customWidth="1"/>
    <col min="7947" max="7947" width="10" style="1" customWidth="1"/>
    <col min="7948" max="7948" width="1.7109375" style="1" customWidth="1"/>
    <col min="7949" max="7949" width="12.42578125" style="1" customWidth="1"/>
    <col min="7950" max="7950" width="2" style="1" customWidth="1"/>
    <col min="7951" max="7951" width="13.85546875" style="1" customWidth="1"/>
    <col min="7952" max="7952" width="3.85546875" style="1" customWidth="1"/>
    <col min="7953" max="7953" width="12.42578125" style="1" customWidth="1"/>
    <col min="7954" max="7954" width="12.5703125" style="1" customWidth="1"/>
    <col min="7955" max="7955" width="12.7109375" style="1" bestFit="1" customWidth="1"/>
    <col min="7956" max="7958" width="6.85546875" style="1"/>
    <col min="7959" max="7959" width="10.140625" style="1" bestFit="1" customWidth="1"/>
    <col min="7960" max="7960" width="6.85546875" style="1"/>
    <col min="7961" max="7961" width="10.140625" style="1" bestFit="1" customWidth="1"/>
    <col min="7962" max="8192" width="6.85546875" style="1"/>
    <col min="8193" max="8193" width="28.5703125" style="1" customWidth="1"/>
    <col min="8194" max="8194" width="13.5703125" style="1" customWidth="1"/>
    <col min="8195" max="8195" width="11.7109375" style="1" customWidth="1"/>
    <col min="8196" max="8196" width="12" style="1" customWidth="1"/>
    <col min="8197" max="8197" width="11.42578125" style="1" customWidth="1"/>
    <col min="8198" max="8198" width="13.140625" style="1" customWidth="1"/>
    <col min="8199" max="8199" width="11.140625" style="1" customWidth="1"/>
    <col min="8200" max="8200" width="10.7109375" style="1" customWidth="1"/>
    <col min="8201" max="8201" width="9" style="1" customWidth="1"/>
    <col min="8202" max="8202" width="9.140625" style="1" customWidth="1"/>
    <col min="8203" max="8203" width="10" style="1" customWidth="1"/>
    <col min="8204" max="8204" width="1.7109375" style="1" customWidth="1"/>
    <col min="8205" max="8205" width="12.42578125" style="1" customWidth="1"/>
    <col min="8206" max="8206" width="2" style="1" customWidth="1"/>
    <col min="8207" max="8207" width="13.85546875" style="1" customWidth="1"/>
    <col min="8208" max="8208" width="3.85546875" style="1" customWidth="1"/>
    <col min="8209" max="8209" width="12.42578125" style="1" customWidth="1"/>
    <col min="8210" max="8210" width="12.5703125" style="1" customWidth="1"/>
    <col min="8211" max="8211" width="12.7109375" style="1" bestFit="1" customWidth="1"/>
    <col min="8212" max="8214" width="6.85546875" style="1"/>
    <col min="8215" max="8215" width="10.140625" style="1" bestFit="1" customWidth="1"/>
    <col min="8216" max="8216" width="6.85546875" style="1"/>
    <col min="8217" max="8217" width="10.140625" style="1" bestFit="1" customWidth="1"/>
    <col min="8218" max="8448" width="6.85546875" style="1"/>
    <col min="8449" max="8449" width="28.5703125" style="1" customWidth="1"/>
    <col min="8450" max="8450" width="13.5703125" style="1" customWidth="1"/>
    <col min="8451" max="8451" width="11.7109375" style="1" customWidth="1"/>
    <col min="8452" max="8452" width="12" style="1" customWidth="1"/>
    <col min="8453" max="8453" width="11.42578125" style="1" customWidth="1"/>
    <col min="8454" max="8454" width="13.140625" style="1" customWidth="1"/>
    <col min="8455" max="8455" width="11.140625" style="1" customWidth="1"/>
    <col min="8456" max="8456" width="10.7109375" style="1" customWidth="1"/>
    <col min="8457" max="8457" width="9" style="1" customWidth="1"/>
    <col min="8458" max="8458" width="9.140625" style="1" customWidth="1"/>
    <col min="8459" max="8459" width="10" style="1" customWidth="1"/>
    <col min="8460" max="8460" width="1.7109375" style="1" customWidth="1"/>
    <col min="8461" max="8461" width="12.42578125" style="1" customWidth="1"/>
    <col min="8462" max="8462" width="2" style="1" customWidth="1"/>
    <col min="8463" max="8463" width="13.85546875" style="1" customWidth="1"/>
    <col min="8464" max="8464" width="3.85546875" style="1" customWidth="1"/>
    <col min="8465" max="8465" width="12.42578125" style="1" customWidth="1"/>
    <col min="8466" max="8466" width="12.5703125" style="1" customWidth="1"/>
    <col min="8467" max="8467" width="12.7109375" style="1" bestFit="1" customWidth="1"/>
    <col min="8468" max="8470" width="6.85546875" style="1"/>
    <col min="8471" max="8471" width="10.140625" style="1" bestFit="1" customWidth="1"/>
    <col min="8472" max="8472" width="6.85546875" style="1"/>
    <col min="8473" max="8473" width="10.140625" style="1" bestFit="1" customWidth="1"/>
    <col min="8474" max="8704" width="6.85546875" style="1"/>
    <col min="8705" max="8705" width="28.5703125" style="1" customWidth="1"/>
    <col min="8706" max="8706" width="13.5703125" style="1" customWidth="1"/>
    <col min="8707" max="8707" width="11.7109375" style="1" customWidth="1"/>
    <col min="8708" max="8708" width="12" style="1" customWidth="1"/>
    <col min="8709" max="8709" width="11.42578125" style="1" customWidth="1"/>
    <col min="8710" max="8710" width="13.140625" style="1" customWidth="1"/>
    <col min="8711" max="8711" width="11.140625" style="1" customWidth="1"/>
    <col min="8712" max="8712" width="10.7109375" style="1" customWidth="1"/>
    <col min="8713" max="8713" width="9" style="1" customWidth="1"/>
    <col min="8714" max="8714" width="9.140625" style="1" customWidth="1"/>
    <col min="8715" max="8715" width="10" style="1" customWidth="1"/>
    <col min="8716" max="8716" width="1.7109375" style="1" customWidth="1"/>
    <col min="8717" max="8717" width="12.42578125" style="1" customWidth="1"/>
    <col min="8718" max="8718" width="2" style="1" customWidth="1"/>
    <col min="8719" max="8719" width="13.85546875" style="1" customWidth="1"/>
    <col min="8720" max="8720" width="3.85546875" style="1" customWidth="1"/>
    <col min="8721" max="8721" width="12.42578125" style="1" customWidth="1"/>
    <col min="8722" max="8722" width="12.5703125" style="1" customWidth="1"/>
    <col min="8723" max="8723" width="12.7109375" style="1" bestFit="1" customWidth="1"/>
    <col min="8724" max="8726" width="6.85546875" style="1"/>
    <col min="8727" max="8727" width="10.140625" style="1" bestFit="1" customWidth="1"/>
    <col min="8728" max="8728" width="6.85546875" style="1"/>
    <col min="8729" max="8729" width="10.140625" style="1" bestFit="1" customWidth="1"/>
    <col min="8730" max="8960" width="6.85546875" style="1"/>
    <col min="8961" max="8961" width="28.5703125" style="1" customWidth="1"/>
    <col min="8962" max="8962" width="13.5703125" style="1" customWidth="1"/>
    <col min="8963" max="8963" width="11.7109375" style="1" customWidth="1"/>
    <col min="8964" max="8964" width="12" style="1" customWidth="1"/>
    <col min="8965" max="8965" width="11.42578125" style="1" customWidth="1"/>
    <col min="8966" max="8966" width="13.140625" style="1" customWidth="1"/>
    <col min="8967" max="8967" width="11.140625" style="1" customWidth="1"/>
    <col min="8968" max="8968" width="10.7109375" style="1" customWidth="1"/>
    <col min="8969" max="8969" width="9" style="1" customWidth="1"/>
    <col min="8970" max="8970" width="9.140625" style="1" customWidth="1"/>
    <col min="8971" max="8971" width="10" style="1" customWidth="1"/>
    <col min="8972" max="8972" width="1.7109375" style="1" customWidth="1"/>
    <col min="8973" max="8973" width="12.42578125" style="1" customWidth="1"/>
    <col min="8974" max="8974" width="2" style="1" customWidth="1"/>
    <col min="8975" max="8975" width="13.85546875" style="1" customWidth="1"/>
    <col min="8976" max="8976" width="3.85546875" style="1" customWidth="1"/>
    <col min="8977" max="8977" width="12.42578125" style="1" customWidth="1"/>
    <col min="8978" max="8978" width="12.5703125" style="1" customWidth="1"/>
    <col min="8979" max="8979" width="12.7109375" style="1" bestFit="1" customWidth="1"/>
    <col min="8980" max="8982" width="6.85546875" style="1"/>
    <col min="8983" max="8983" width="10.140625" style="1" bestFit="1" customWidth="1"/>
    <col min="8984" max="8984" width="6.85546875" style="1"/>
    <col min="8985" max="8985" width="10.140625" style="1" bestFit="1" customWidth="1"/>
    <col min="8986" max="9216" width="6.85546875" style="1"/>
    <col min="9217" max="9217" width="28.5703125" style="1" customWidth="1"/>
    <col min="9218" max="9218" width="13.5703125" style="1" customWidth="1"/>
    <col min="9219" max="9219" width="11.7109375" style="1" customWidth="1"/>
    <col min="9220" max="9220" width="12" style="1" customWidth="1"/>
    <col min="9221" max="9221" width="11.42578125" style="1" customWidth="1"/>
    <col min="9222" max="9222" width="13.140625" style="1" customWidth="1"/>
    <col min="9223" max="9223" width="11.140625" style="1" customWidth="1"/>
    <col min="9224" max="9224" width="10.7109375" style="1" customWidth="1"/>
    <col min="9225" max="9225" width="9" style="1" customWidth="1"/>
    <col min="9226" max="9226" width="9.140625" style="1" customWidth="1"/>
    <col min="9227" max="9227" width="10" style="1" customWidth="1"/>
    <col min="9228" max="9228" width="1.7109375" style="1" customWidth="1"/>
    <col min="9229" max="9229" width="12.42578125" style="1" customWidth="1"/>
    <col min="9230" max="9230" width="2" style="1" customWidth="1"/>
    <col min="9231" max="9231" width="13.85546875" style="1" customWidth="1"/>
    <col min="9232" max="9232" width="3.85546875" style="1" customWidth="1"/>
    <col min="9233" max="9233" width="12.42578125" style="1" customWidth="1"/>
    <col min="9234" max="9234" width="12.5703125" style="1" customWidth="1"/>
    <col min="9235" max="9235" width="12.7109375" style="1" bestFit="1" customWidth="1"/>
    <col min="9236" max="9238" width="6.85546875" style="1"/>
    <col min="9239" max="9239" width="10.140625" style="1" bestFit="1" customWidth="1"/>
    <col min="9240" max="9240" width="6.85546875" style="1"/>
    <col min="9241" max="9241" width="10.140625" style="1" bestFit="1" customWidth="1"/>
    <col min="9242" max="9472" width="6.85546875" style="1"/>
    <col min="9473" max="9473" width="28.5703125" style="1" customWidth="1"/>
    <col min="9474" max="9474" width="13.5703125" style="1" customWidth="1"/>
    <col min="9475" max="9475" width="11.7109375" style="1" customWidth="1"/>
    <col min="9476" max="9476" width="12" style="1" customWidth="1"/>
    <col min="9477" max="9477" width="11.42578125" style="1" customWidth="1"/>
    <col min="9478" max="9478" width="13.140625" style="1" customWidth="1"/>
    <col min="9479" max="9479" width="11.140625" style="1" customWidth="1"/>
    <col min="9480" max="9480" width="10.7109375" style="1" customWidth="1"/>
    <col min="9481" max="9481" width="9" style="1" customWidth="1"/>
    <col min="9482" max="9482" width="9.140625" style="1" customWidth="1"/>
    <col min="9483" max="9483" width="10" style="1" customWidth="1"/>
    <col min="9484" max="9484" width="1.7109375" style="1" customWidth="1"/>
    <col min="9485" max="9485" width="12.42578125" style="1" customWidth="1"/>
    <col min="9486" max="9486" width="2" style="1" customWidth="1"/>
    <col min="9487" max="9487" width="13.85546875" style="1" customWidth="1"/>
    <col min="9488" max="9488" width="3.85546875" style="1" customWidth="1"/>
    <col min="9489" max="9489" width="12.42578125" style="1" customWidth="1"/>
    <col min="9490" max="9490" width="12.5703125" style="1" customWidth="1"/>
    <col min="9491" max="9491" width="12.7109375" style="1" bestFit="1" customWidth="1"/>
    <col min="9492" max="9494" width="6.85546875" style="1"/>
    <col min="9495" max="9495" width="10.140625" style="1" bestFit="1" customWidth="1"/>
    <col min="9496" max="9496" width="6.85546875" style="1"/>
    <col min="9497" max="9497" width="10.140625" style="1" bestFit="1" customWidth="1"/>
    <col min="9498" max="9728" width="6.85546875" style="1"/>
    <col min="9729" max="9729" width="28.5703125" style="1" customWidth="1"/>
    <col min="9730" max="9730" width="13.5703125" style="1" customWidth="1"/>
    <col min="9731" max="9731" width="11.7109375" style="1" customWidth="1"/>
    <col min="9732" max="9732" width="12" style="1" customWidth="1"/>
    <col min="9733" max="9733" width="11.42578125" style="1" customWidth="1"/>
    <col min="9734" max="9734" width="13.140625" style="1" customWidth="1"/>
    <col min="9735" max="9735" width="11.140625" style="1" customWidth="1"/>
    <col min="9736" max="9736" width="10.7109375" style="1" customWidth="1"/>
    <col min="9737" max="9737" width="9" style="1" customWidth="1"/>
    <col min="9738" max="9738" width="9.140625" style="1" customWidth="1"/>
    <col min="9739" max="9739" width="10" style="1" customWidth="1"/>
    <col min="9740" max="9740" width="1.7109375" style="1" customWidth="1"/>
    <col min="9741" max="9741" width="12.42578125" style="1" customWidth="1"/>
    <col min="9742" max="9742" width="2" style="1" customWidth="1"/>
    <col min="9743" max="9743" width="13.85546875" style="1" customWidth="1"/>
    <col min="9744" max="9744" width="3.85546875" style="1" customWidth="1"/>
    <col min="9745" max="9745" width="12.42578125" style="1" customWidth="1"/>
    <col min="9746" max="9746" width="12.5703125" style="1" customWidth="1"/>
    <col min="9747" max="9747" width="12.7109375" style="1" bestFit="1" customWidth="1"/>
    <col min="9748" max="9750" width="6.85546875" style="1"/>
    <col min="9751" max="9751" width="10.140625" style="1" bestFit="1" customWidth="1"/>
    <col min="9752" max="9752" width="6.85546875" style="1"/>
    <col min="9753" max="9753" width="10.140625" style="1" bestFit="1" customWidth="1"/>
    <col min="9754" max="9984" width="6.85546875" style="1"/>
    <col min="9985" max="9985" width="28.5703125" style="1" customWidth="1"/>
    <col min="9986" max="9986" width="13.5703125" style="1" customWidth="1"/>
    <col min="9987" max="9987" width="11.7109375" style="1" customWidth="1"/>
    <col min="9988" max="9988" width="12" style="1" customWidth="1"/>
    <col min="9989" max="9989" width="11.42578125" style="1" customWidth="1"/>
    <col min="9990" max="9990" width="13.140625" style="1" customWidth="1"/>
    <col min="9991" max="9991" width="11.140625" style="1" customWidth="1"/>
    <col min="9992" max="9992" width="10.7109375" style="1" customWidth="1"/>
    <col min="9993" max="9993" width="9" style="1" customWidth="1"/>
    <col min="9994" max="9994" width="9.140625" style="1" customWidth="1"/>
    <col min="9995" max="9995" width="10" style="1" customWidth="1"/>
    <col min="9996" max="9996" width="1.7109375" style="1" customWidth="1"/>
    <col min="9997" max="9997" width="12.42578125" style="1" customWidth="1"/>
    <col min="9998" max="9998" width="2" style="1" customWidth="1"/>
    <col min="9999" max="9999" width="13.85546875" style="1" customWidth="1"/>
    <col min="10000" max="10000" width="3.85546875" style="1" customWidth="1"/>
    <col min="10001" max="10001" width="12.42578125" style="1" customWidth="1"/>
    <col min="10002" max="10002" width="12.5703125" style="1" customWidth="1"/>
    <col min="10003" max="10003" width="12.7109375" style="1" bestFit="1" customWidth="1"/>
    <col min="10004" max="10006" width="6.85546875" style="1"/>
    <col min="10007" max="10007" width="10.140625" style="1" bestFit="1" customWidth="1"/>
    <col min="10008" max="10008" width="6.85546875" style="1"/>
    <col min="10009" max="10009" width="10.140625" style="1" bestFit="1" customWidth="1"/>
    <col min="10010" max="10240" width="6.85546875" style="1"/>
    <col min="10241" max="10241" width="28.5703125" style="1" customWidth="1"/>
    <col min="10242" max="10242" width="13.5703125" style="1" customWidth="1"/>
    <col min="10243" max="10243" width="11.7109375" style="1" customWidth="1"/>
    <col min="10244" max="10244" width="12" style="1" customWidth="1"/>
    <col min="10245" max="10245" width="11.42578125" style="1" customWidth="1"/>
    <col min="10246" max="10246" width="13.140625" style="1" customWidth="1"/>
    <col min="10247" max="10247" width="11.140625" style="1" customWidth="1"/>
    <col min="10248" max="10248" width="10.7109375" style="1" customWidth="1"/>
    <col min="10249" max="10249" width="9" style="1" customWidth="1"/>
    <col min="10250" max="10250" width="9.140625" style="1" customWidth="1"/>
    <col min="10251" max="10251" width="10" style="1" customWidth="1"/>
    <col min="10252" max="10252" width="1.7109375" style="1" customWidth="1"/>
    <col min="10253" max="10253" width="12.42578125" style="1" customWidth="1"/>
    <col min="10254" max="10254" width="2" style="1" customWidth="1"/>
    <col min="10255" max="10255" width="13.85546875" style="1" customWidth="1"/>
    <col min="10256" max="10256" width="3.85546875" style="1" customWidth="1"/>
    <col min="10257" max="10257" width="12.42578125" style="1" customWidth="1"/>
    <col min="10258" max="10258" width="12.5703125" style="1" customWidth="1"/>
    <col min="10259" max="10259" width="12.7109375" style="1" bestFit="1" customWidth="1"/>
    <col min="10260" max="10262" width="6.85546875" style="1"/>
    <col min="10263" max="10263" width="10.140625" style="1" bestFit="1" customWidth="1"/>
    <col min="10264" max="10264" width="6.85546875" style="1"/>
    <col min="10265" max="10265" width="10.140625" style="1" bestFit="1" customWidth="1"/>
    <col min="10266" max="10496" width="6.85546875" style="1"/>
    <col min="10497" max="10497" width="28.5703125" style="1" customWidth="1"/>
    <col min="10498" max="10498" width="13.5703125" style="1" customWidth="1"/>
    <col min="10499" max="10499" width="11.7109375" style="1" customWidth="1"/>
    <col min="10500" max="10500" width="12" style="1" customWidth="1"/>
    <col min="10501" max="10501" width="11.42578125" style="1" customWidth="1"/>
    <col min="10502" max="10502" width="13.140625" style="1" customWidth="1"/>
    <col min="10503" max="10503" width="11.140625" style="1" customWidth="1"/>
    <col min="10504" max="10504" width="10.7109375" style="1" customWidth="1"/>
    <col min="10505" max="10505" width="9" style="1" customWidth="1"/>
    <col min="10506" max="10506" width="9.140625" style="1" customWidth="1"/>
    <col min="10507" max="10507" width="10" style="1" customWidth="1"/>
    <col min="10508" max="10508" width="1.7109375" style="1" customWidth="1"/>
    <col min="10509" max="10509" width="12.42578125" style="1" customWidth="1"/>
    <col min="10510" max="10510" width="2" style="1" customWidth="1"/>
    <col min="10511" max="10511" width="13.85546875" style="1" customWidth="1"/>
    <col min="10512" max="10512" width="3.85546875" style="1" customWidth="1"/>
    <col min="10513" max="10513" width="12.42578125" style="1" customWidth="1"/>
    <col min="10514" max="10514" width="12.5703125" style="1" customWidth="1"/>
    <col min="10515" max="10515" width="12.7109375" style="1" bestFit="1" customWidth="1"/>
    <col min="10516" max="10518" width="6.85546875" style="1"/>
    <col min="10519" max="10519" width="10.140625" style="1" bestFit="1" customWidth="1"/>
    <col min="10520" max="10520" width="6.85546875" style="1"/>
    <col min="10521" max="10521" width="10.140625" style="1" bestFit="1" customWidth="1"/>
    <col min="10522" max="10752" width="6.85546875" style="1"/>
    <col min="10753" max="10753" width="28.5703125" style="1" customWidth="1"/>
    <col min="10754" max="10754" width="13.5703125" style="1" customWidth="1"/>
    <col min="10755" max="10755" width="11.7109375" style="1" customWidth="1"/>
    <col min="10756" max="10756" width="12" style="1" customWidth="1"/>
    <col min="10757" max="10757" width="11.42578125" style="1" customWidth="1"/>
    <col min="10758" max="10758" width="13.140625" style="1" customWidth="1"/>
    <col min="10759" max="10759" width="11.140625" style="1" customWidth="1"/>
    <col min="10760" max="10760" width="10.7109375" style="1" customWidth="1"/>
    <col min="10761" max="10761" width="9" style="1" customWidth="1"/>
    <col min="10762" max="10762" width="9.140625" style="1" customWidth="1"/>
    <col min="10763" max="10763" width="10" style="1" customWidth="1"/>
    <col min="10764" max="10764" width="1.7109375" style="1" customWidth="1"/>
    <col min="10765" max="10765" width="12.42578125" style="1" customWidth="1"/>
    <col min="10766" max="10766" width="2" style="1" customWidth="1"/>
    <col min="10767" max="10767" width="13.85546875" style="1" customWidth="1"/>
    <col min="10768" max="10768" width="3.85546875" style="1" customWidth="1"/>
    <col min="10769" max="10769" width="12.42578125" style="1" customWidth="1"/>
    <col min="10770" max="10770" width="12.5703125" style="1" customWidth="1"/>
    <col min="10771" max="10771" width="12.7109375" style="1" bestFit="1" customWidth="1"/>
    <col min="10772" max="10774" width="6.85546875" style="1"/>
    <col min="10775" max="10775" width="10.140625" style="1" bestFit="1" customWidth="1"/>
    <col min="10776" max="10776" width="6.85546875" style="1"/>
    <col min="10777" max="10777" width="10.140625" style="1" bestFit="1" customWidth="1"/>
    <col min="10778" max="11008" width="6.85546875" style="1"/>
    <col min="11009" max="11009" width="28.5703125" style="1" customWidth="1"/>
    <col min="11010" max="11010" width="13.5703125" style="1" customWidth="1"/>
    <col min="11011" max="11011" width="11.7109375" style="1" customWidth="1"/>
    <col min="11012" max="11012" width="12" style="1" customWidth="1"/>
    <col min="11013" max="11013" width="11.42578125" style="1" customWidth="1"/>
    <col min="11014" max="11014" width="13.140625" style="1" customWidth="1"/>
    <col min="11015" max="11015" width="11.140625" style="1" customWidth="1"/>
    <col min="11016" max="11016" width="10.7109375" style="1" customWidth="1"/>
    <col min="11017" max="11017" width="9" style="1" customWidth="1"/>
    <col min="11018" max="11018" width="9.140625" style="1" customWidth="1"/>
    <col min="11019" max="11019" width="10" style="1" customWidth="1"/>
    <col min="11020" max="11020" width="1.7109375" style="1" customWidth="1"/>
    <col min="11021" max="11021" width="12.42578125" style="1" customWidth="1"/>
    <col min="11022" max="11022" width="2" style="1" customWidth="1"/>
    <col min="11023" max="11023" width="13.85546875" style="1" customWidth="1"/>
    <col min="11024" max="11024" width="3.85546875" style="1" customWidth="1"/>
    <col min="11025" max="11025" width="12.42578125" style="1" customWidth="1"/>
    <col min="11026" max="11026" width="12.5703125" style="1" customWidth="1"/>
    <col min="11027" max="11027" width="12.7109375" style="1" bestFit="1" customWidth="1"/>
    <col min="11028" max="11030" width="6.85546875" style="1"/>
    <col min="11031" max="11031" width="10.140625" style="1" bestFit="1" customWidth="1"/>
    <col min="11032" max="11032" width="6.85546875" style="1"/>
    <col min="11033" max="11033" width="10.140625" style="1" bestFit="1" customWidth="1"/>
    <col min="11034" max="11264" width="6.85546875" style="1"/>
    <col min="11265" max="11265" width="28.5703125" style="1" customWidth="1"/>
    <col min="11266" max="11266" width="13.5703125" style="1" customWidth="1"/>
    <col min="11267" max="11267" width="11.7109375" style="1" customWidth="1"/>
    <col min="11268" max="11268" width="12" style="1" customWidth="1"/>
    <col min="11269" max="11269" width="11.42578125" style="1" customWidth="1"/>
    <col min="11270" max="11270" width="13.140625" style="1" customWidth="1"/>
    <col min="11271" max="11271" width="11.140625" style="1" customWidth="1"/>
    <col min="11272" max="11272" width="10.7109375" style="1" customWidth="1"/>
    <col min="11273" max="11273" width="9" style="1" customWidth="1"/>
    <col min="11274" max="11274" width="9.140625" style="1" customWidth="1"/>
    <col min="11275" max="11275" width="10" style="1" customWidth="1"/>
    <col min="11276" max="11276" width="1.7109375" style="1" customWidth="1"/>
    <col min="11277" max="11277" width="12.42578125" style="1" customWidth="1"/>
    <col min="11278" max="11278" width="2" style="1" customWidth="1"/>
    <col min="11279" max="11279" width="13.85546875" style="1" customWidth="1"/>
    <col min="11280" max="11280" width="3.85546875" style="1" customWidth="1"/>
    <col min="11281" max="11281" width="12.42578125" style="1" customWidth="1"/>
    <col min="11282" max="11282" width="12.5703125" style="1" customWidth="1"/>
    <col min="11283" max="11283" width="12.7109375" style="1" bestFit="1" customWidth="1"/>
    <col min="11284" max="11286" width="6.85546875" style="1"/>
    <col min="11287" max="11287" width="10.140625" style="1" bestFit="1" customWidth="1"/>
    <col min="11288" max="11288" width="6.85546875" style="1"/>
    <col min="11289" max="11289" width="10.140625" style="1" bestFit="1" customWidth="1"/>
    <col min="11290" max="11520" width="6.85546875" style="1"/>
    <col min="11521" max="11521" width="28.5703125" style="1" customWidth="1"/>
    <col min="11522" max="11522" width="13.5703125" style="1" customWidth="1"/>
    <col min="11523" max="11523" width="11.7109375" style="1" customWidth="1"/>
    <col min="11524" max="11524" width="12" style="1" customWidth="1"/>
    <col min="11525" max="11525" width="11.42578125" style="1" customWidth="1"/>
    <col min="11526" max="11526" width="13.140625" style="1" customWidth="1"/>
    <col min="11527" max="11527" width="11.140625" style="1" customWidth="1"/>
    <col min="11528" max="11528" width="10.7109375" style="1" customWidth="1"/>
    <col min="11529" max="11529" width="9" style="1" customWidth="1"/>
    <col min="11530" max="11530" width="9.140625" style="1" customWidth="1"/>
    <col min="11531" max="11531" width="10" style="1" customWidth="1"/>
    <col min="11532" max="11532" width="1.7109375" style="1" customWidth="1"/>
    <col min="11533" max="11533" width="12.42578125" style="1" customWidth="1"/>
    <col min="11534" max="11534" width="2" style="1" customWidth="1"/>
    <col min="11535" max="11535" width="13.85546875" style="1" customWidth="1"/>
    <col min="11536" max="11536" width="3.85546875" style="1" customWidth="1"/>
    <col min="11537" max="11537" width="12.42578125" style="1" customWidth="1"/>
    <col min="11538" max="11538" width="12.5703125" style="1" customWidth="1"/>
    <col min="11539" max="11539" width="12.7109375" style="1" bestFit="1" customWidth="1"/>
    <col min="11540" max="11542" width="6.85546875" style="1"/>
    <col min="11543" max="11543" width="10.140625" style="1" bestFit="1" customWidth="1"/>
    <col min="11544" max="11544" width="6.85546875" style="1"/>
    <col min="11545" max="11545" width="10.140625" style="1" bestFit="1" customWidth="1"/>
    <col min="11546" max="11776" width="6.85546875" style="1"/>
    <col min="11777" max="11777" width="28.5703125" style="1" customWidth="1"/>
    <col min="11778" max="11778" width="13.5703125" style="1" customWidth="1"/>
    <col min="11779" max="11779" width="11.7109375" style="1" customWidth="1"/>
    <col min="11780" max="11780" width="12" style="1" customWidth="1"/>
    <col min="11781" max="11781" width="11.42578125" style="1" customWidth="1"/>
    <col min="11782" max="11782" width="13.140625" style="1" customWidth="1"/>
    <col min="11783" max="11783" width="11.140625" style="1" customWidth="1"/>
    <col min="11784" max="11784" width="10.7109375" style="1" customWidth="1"/>
    <col min="11785" max="11785" width="9" style="1" customWidth="1"/>
    <col min="11786" max="11786" width="9.140625" style="1" customWidth="1"/>
    <col min="11787" max="11787" width="10" style="1" customWidth="1"/>
    <col min="11788" max="11788" width="1.7109375" style="1" customWidth="1"/>
    <col min="11789" max="11789" width="12.42578125" style="1" customWidth="1"/>
    <col min="11790" max="11790" width="2" style="1" customWidth="1"/>
    <col min="11791" max="11791" width="13.85546875" style="1" customWidth="1"/>
    <col min="11792" max="11792" width="3.85546875" style="1" customWidth="1"/>
    <col min="11793" max="11793" width="12.42578125" style="1" customWidth="1"/>
    <col min="11794" max="11794" width="12.5703125" style="1" customWidth="1"/>
    <col min="11795" max="11795" width="12.7109375" style="1" bestFit="1" customWidth="1"/>
    <col min="11796" max="11798" width="6.85546875" style="1"/>
    <col min="11799" max="11799" width="10.140625" style="1" bestFit="1" customWidth="1"/>
    <col min="11800" max="11800" width="6.85546875" style="1"/>
    <col min="11801" max="11801" width="10.140625" style="1" bestFit="1" customWidth="1"/>
    <col min="11802" max="12032" width="6.85546875" style="1"/>
    <col min="12033" max="12033" width="28.5703125" style="1" customWidth="1"/>
    <col min="12034" max="12034" width="13.5703125" style="1" customWidth="1"/>
    <col min="12035" max="12035" width="11.7109375" style="1" customWidth="1"/>
    <col min="12036" max="12036" width="12" style="1" customWidth="1"/>
    <col min="12037" max="12037" width="11.42578125" style="1" customWidth="1"/>
    <col min="12038" max="12038" width="13.140625" style="1" customWidth="1"/>
    <col min="12039" max="12039" width="11.140625" style="1" customWidth="1"/>
    <col min="12040" max="12040" width="10.7109375" style="1" customWidth="1"/>
    <col min="12041" max="12041" width="9" style="1" customWidth="1"/>
    <col min="12042" max="12042" width="9.140625" style="1" customWidth="1"/>
    <col min="12043" max="12043" width="10" style="1" customWidth="1"/>
    <col min="12044" max="12044" width="1.7109375" style="1" customWidth="1"/>
    <col min="12045" max="12045" width="12.42578125" style="1" customWidth="1"/>
    <col min="12046" max="12046" width="2" style="1" customWidth="1"/>
    <col min="12047" max="12047" width="13.85546875" style="1" customWidth="1"/>
    <col min="12048" max="12048" width="3.85546875" style="1" customWidth="1"/>
    <col min="12049" max="12049" width="12.42578125" style="1" customWidth="1"/>
    <col min="12050" max="12050" width="12.5703125" style="1" customWidth="1"/>
    <col min="12051" max="12051" width="12.7109375" style="1" bestFit="1" customWidth="1"/>
    <col min="12052" max="12054" width="6.85546875" style="1"/>
    <col min="12055" max="12055" width="10.140625" style="1" bestFit="1" customWidth="1"/>
    <col min="12056" max="12056" width="6.85546875" style="1"/>
    <col min="12057" max="12057" width="10.140625" style="1" bestFit="1" customWidth="1"/>
    <col min="12058" max="12288" width="6.85546875" style="1"/>
    <col min="12289" max="12289" width="28.5703125" style="1" customWidth="1"/>
    <col min="12290" max="12290" width="13.5703125" style="1" customWidth="1"/>
    <col min="12291" max="12291" width="11.7109375" style="1" customWidth="1"/>
    <col min="12292" max="12292" width="12" style="1" customWidth="1"/>
    <col min="12293" max="12293" width="11.42578125" style="1" customWidth="1"/>
    <col min="12294" max="12294" width="13.140625" style="1" customWidth="1"/>
    <col min="12295" max="12295" width="11.140625" style="1" customWidth="1"/>
    <col min="12296" max="12296" width="10.7109375" style="1" customWidth="1"/>
    <col min="12297" max="12297" width="9" style="1" customWidth="1"/>
    <col min="12298" max="12298" width="9.140625" style="1" customWidth="1"/>
    <col min="12299" max="12299" width="10" style="1" customWidth="1"/>
    <col min="12300" max="12300" width="1.7109375" style="1" customWidth="1"/>
    <col min="12301" max="12301" width="12.42578125" style="1" customWidth="1"/>
    <col min="12302" max="12302" width="2" style="1" customWidth="1"/>
    <col min="12303" max="12303" width="13.85546875" style="1" customWidth="1"/>
    <col min="12304" max="12304" width="3.85546875" style="1" customWidth="1"/>
    <col min="12305" max="12305" width="12.42578125" style="1" customWidth="1"/>
    <col min="12306" max="12306" width="12.5703125" style="1" customWidth="1"/>
    <col min="12307" max="12307" width="12.7109375" style="1" bestFit="1" customWidth="1"/>
    <col min="12308" max="12310" width="6.85546875" style="1"/>
    <col min="12311" max="12311" width="10.140625" style="1" bestFit="1" customWidth="1"/>
    <col min="12312" max="12312" width="6.85546875" style="1"/>
    <col min="12313" max="12313" width="10.140625" style="1" bestFit="1" customWidth="1"/>
    <col min="12314" max="12544" width="6.85546875" style="1"/>
    <col min="12545" max="12545" width="28.5703125" style="1" customWidth="1"/>
    <col min="12546" max="12546" width="13.5703125" style="1" customWidth="1"/>
    <col min="12547" max="12547" width="11.7109375" style="1" customWidth="1"/>
    <col min="12548" max="12548" width="12" style="1" customWidth="1"/>
    <col min="12549" max="12549" width="11.42578125" style="1" customWidth="1"/>
    <col min="12550" max="12550" width="13.140625" style="1" customWidth="1"/>
    <col min="12551" max="12551" width="11.140625" style="1" customWidth="1"/>
    <col min="12552" max="12552" width="10.7109375" style="1" customWidth="1"/>
    <col min="12553" max="12553" width="9" style="1" customWidth="1"/>
    <col min="12554" max="12554" width="9.140625" style="1" customWidth="1"/>
    <col min="12555" max="12555" width="10" style="1" customWidth="1"/>
    <col min="12556" max="12556" width="1.7109375" style="1" customWidth="1"/>
    <col min="12557" max="12557" width="12.42578125" style="1" customWidth="1"/>
    <col min="12558" max="12558" width="2" style="1" customWidth="1"/>
    <col min="12559" max="12559" width="13.85546875" style="1" customWidth="1"/>
    <col min="12560" max="12560" width="3.85546875" style="1" customWidth="1"/>
    <col min="12561" max="12561" width="12.42578125" style="1" customWidth="1"/>
    <col min="12562" max="12562" width="12.5703125" style="1" customWidth="1"/>
    <col min="12563" max="12563" width="12.7109375" style="1" bestFit="1" customWidth="1"/>
    <col min="12564" max="12566" width="6.85546875" style="1"/>
    <col min="12567" max="12567" width="10.140625" style="1" bestFit="1" customWidth="1"/>
    <col min="12568" max="12568" width="6.85546875" style="1"/>
    <col min="12569" max="12569" width="10.140625" style="1" bestFit="1" customWidth="1"/>
    <col min="12570" max="12800" width="6.85546875" style="1"/>
    <col min="12801" max="12801" width="28.5703125" style="1" customWidth="1"/>
    <col min="12802" max="12802" width="13.5703125" style="1" customWidth="1"/>
    <col min="12803" max="12803" width="11.7109375" style="1" customWidth="1"/>
    <col min="12804" max="12804" width="12" style="1" customWidth="1"/>
    <col min="12805" max="12805" width="11.42578125" style="1" customWidth="1"/>
    <col min="12806" max="12806" width="13.140625" style="1" customWidth="1"/>
    <col min="12807" max="12807" width="11.140625" style="1" customWidth="1"/>
    <col min="12808" max="12808" width="10.7109375" style="1" customWidth="1"/>
    <col min="12809" max="12809" width="9" style="1" customWidth="1"/>
    <col min="12810" max="12810" width="9.140625" style="1" customWidth="1"/>
    <col min="12811" max="12811" width="10" style="1" customWidth="1"/>
    <col min="12812" max="12812" width="1.7109375" style="1" customWidth="1"/>
    <col min="12813" max="12813" width="12.42578125" style="1" customWidth="1"/>
    <col min="12814" max="12814" width="2" style="1" customWidth="1"/>
    <col min="12815" max="12815" width="13.85546875" style="1" customWidth="1"/>
    <col min="12816" max="12816" width="3.85546875" style="1" customWidth="1"/>
    <col min="12817" max="12817" width="12.42578125" style="1" customWidth="1"/>
    <col min="12818" max="12818" width="12.5703125" style="1" customWidth="1"/>
    <col min="12819" max="12819" width="12.7109375" style="1" bestFit="1" customWidth="1"/>
    <col min="12820" max="12822" width="6.85546875" style="1"/>
    <col min="12823" max="12823" width="10.140625" style="1" bestFit="1" customWidth="1"/>
    <col min="12824" max="12824" width="6.85546875" style="1"/>
    <col min="12825" max="12825" width="10.140625" style="1" bestFit="1" customWidth="1"/>
    <col min="12826" max="13056" width="6.85546875" style="1"/>
    <col min="13057" max="13057" width="28.5703125" style="1" customWidth="1"/>
    <col min="13058" max="13058" width="13.5703125" style="1" customWidth="1"/>
    <col min="13059" max="13059" width="11.7109375" style="1" customWidth="1"/>
    <col min="13060" max="13060" width="12" style="1" customWidth="1"/>
    <col min="13061" max="13061" width="11.42578125" style="1" customWidth="1"/>
    <col min="13062" max="13062" width="13.140625" style="1" customWidth="1"/>
    <col min="13063" max="13063" width="11.140625" style="1" customWidth="1"/>
    <col min="13064" max="13064" width="10.7109375" style="1" customWidth="1"/>
    <col min="13065" max="13065" width="9" style="1" customWidth="1"/>
    <col min="13066" max="13066" width="9.140625" style="1" customWidth="1"/>
    <col min="13067" max="13067" width="10" style="1" customWidth="1"/>
    <col min="13068" max="13068" width="1.7109375" style="1" customWidth="1"/>
    <col min="13069" max="13069" width="12.42578125" style="1" customWidth="1"/>
    <col min="13070" max="13070" width="2" style="1" customWidth="1"/>
    <col min="13071" max="13071" width="13.85546875" style="1" customWidth="1"/>
    <col min="13072" max="13072" width="3.85546875" style="1" customWidth="1"/>
    <col min="13073" max="13073" width="12.42578125" style="1" customWidth="1"/>
    <col min="13074" max="13074" width="12.5703125" style="1" customWidth="1"/>
    <col min="13075" max="13075" width="12.7109375" style="1" bestFit="1" customWidth="1"/>
    <col min="13076" max="13078" width="6.85546875" style="1"/>
    <col min="13079" max="13079" width="10.140625" style="1" bestFit="1" customWidth="1"/>
    <col min="13080" max="13080" width="6.85546875" style="1"/>
    <col min="13081" max="13081" width="10.140625" style="1" bestFit="1" customWidth="1"/>
    <col min="13082" max="13312" width="6.85546875" style="1"/>
    <col min="13313" max="13313" width="28.5703125" style="1" customWidth="1"/>
    <col min="13314" max="13314" width="13.5703125" style="1" customWidth="1"/>
    <col min="13315" max="13315" width="11.7109375" style="1" customWidth="1"/>
    <col min="13316" max="13316" width="12" style="1" customWidth="1"/>
    <col min="13317" max="13317" width="11.42578125" style="1" customWidth="1"/>
    <col min="13318" max="13318" width="13.140625" style="1" customWidth="1"/>
    <col min="13319" max="13319" width="11.140625" style="1" customWidth="1"/>
    <col min="13320" max="13320" width="10.7109375" style="1" customWidth="1"/>
    <col min="13321" max="13321" width="9" style="1" customWidth="1"/>
    <col min="13322" max="13322" width="9.140625" style="1" customWidth="1"/>
    <col min="13323" max="13323" width="10" style="1" customWidth="1"/>
    <col min="13324" max="13324" width="1.7109375" style="1" customWidth="1"/>
    <col min="13325" max="13325" width="12.42578125" style="1" customWidth="1"/>
    <col min="13326" max="13326" width="2" style="1" customWidth="1"/>
    <col min="13327" max="13327" width="13.85546875" style="1" customWidth="1"/>
    <col min="13328" max="13328" width="3.85546875" style="1" customWidth="1"/>
    <col min="13329" max="13329" width="12.42578125" style="1" customWidth="1"/>
    <col min="13330" max="13330" width="12.5703125" style="1" customWidth="1"/>
    <col min="13331" max="13331" width="12.7109375" style="1" bestFit="1" customWidth="1"/>
    <col min="13332" max="13334" width="6.85546875" style="1"/>
    <col min="13335" max="13335" width="10.140625" style="1" bestFit="1" customWidth="1"/>
    <col min="13336" max="13336" width="6.85546875" style="1"/>
    <col min="13337" max="13337" width="10.140625" style="1" bestFit="1" customWidth="1"/>
    <col min="13338" max="13568" width="6.85546875" style="1"/>
    <col min="13569" max="13569" width="28.5703125" style="1" customWidth="1"/>
    <col min="13570" max="13570" width="13.5703125" style="1" customWidth="1"/>
    <col min="13571" max="13571" width="11.7109375" style="1" customWidth="1"/>
    <col min="13572" max="13572" width="12" style="1" customWidth="1"/>
    <col min="13573" max="13573" width="11.42578125" style="1" customWidth="1"/>
    <col min="13574" max="13574" width="13.140625" style="1" customWidth="1"/>
    <col min="13575" max="13575" width="11.140625" style="1" customWidth="1"/>
    <col min="13576" max="13576" width="10.7109375" style="1" customWidth="1"/>
    <col min="13577" max="13577" width="9" style="1" customWidth="1"/>
    <col min="13578" max="13578" width="9.140625" style="1" customWidth="1"/>
    <col min="13579" max="13579" width="10" style="1" customWidth="1"/>
    <col min="13580" max="13580" width="1.7109375" style="1" customWidth="1"/>
    <col min="13581" max="13581" width="12.42578125" style="1" customWidth="1"/>
    <col min="13582" max="13582" width="2" style="1" customWidth="1"/>
    <col min="13583" max="13583" width="13.85546875" style="1" customWidth="1"/>
    <col min="13584" max="13584" width="3.85546875" style="1" customWidth="1"/>
    <col min="13585" max="13585" width="12.42578125" style="1" customWidth="1"/>
    <col min="13586" max="13586" width="12.5703125" style="1" customWidth="1"/>
    <col min="13587" max="13587" width="12.7109375" style="1" bestFit="1" customWidth="1"/>
    <col min="13588" max="13590" width="6.85546875" style="1"/>
    <col min="13591" max="13591" width="10.140625" style="1" bestFit="1" customWidth="1"/>
    <col min="13592" max="13592" width="6.85546875" style="1"/>
    <col min="13593" max="13593" width="10.140625" style="1" bestFit="1" customWidth="1"/>
    <col min="13594" max="13824" width="6.85546875" style="1"/>
    <col min="13825" max="13825" width="28.5703125" style="1" customWidth="1"/>
    <col min="13826" max="13826" width="13.5703125" style="1" customWidth="1"/>
    <col min="13827" max="13827" width="11.7109375" style="1" customWidth="1"/>
    <col min="13828" max="13828" width="12" style="1" customWidth="1"/>
    <col min="13829" max="13829" width="11.42578125" style="1" customWidth="1"/>
    <col min="13830" max="13830" width="13.140625" style="1" customWidth="1"/>
    <col min="13831" max="13831" width="11.140625" style="1" customWidth="1"/>
    <col min="13832" max="13832" width="10.7109375" style="1" customWidth="1"/>
    <col min="13833" max="13833" width="9" style="1" customWidth="1"/>
    <col min="13834" max="13834" width="9.140625" style="1" customWidth="1"/>
    <col min="13835" max="13835" width="10" style="1" customWidth="1"/>
    <col min="13836" max="13836" width="1.7109375" style="1" customWidth="1"/>
    <col min="13837" max="13837" width="12.42578125" style="1" customWidth="1"/>
    <col min="13838" max="13838" width="2" style="1" customWidth="1"/>
    <col min="13839" max="13839" width="13.85546875" style="1" customWidth="1"/>
    <col min="13840" max="13840" width="3.85546875" style="1" customWidth="1"/>
    <col min="13841" max="13841" width="12.42578125" style="1" customWidth="1"/>
    <col min="13842" max="13842" width="12.5703125" style="1" customWidth="1"/>
    <col min="13843" max="13843" width="12.7109375" style="1" bestFit="1" customWidth="1"/>
    <col min="13844" max="13846" width="6.85546875" style="1"/>
    <col min="13847" max="13847" width="10.140625" style="1" bestFit="1" customWidth="1"/>
    <col min="13848" max="13848" width="6.85546875" style="1"/>
    <col min="13849" max="13849" width="10.140625" style="1" bestFit="1" customWidth="1"/>
    <col min="13850" max="14080" width="6.85546875" style="1"/>
    <col min="14081" max="14081" width="28.5703125" style="1" customWidth="1"/>
    <col min="14082" max="14082" width="13.5703125" style="1" customWidth="1"/>
    <col min="14083" max="14083" width="11.7109375" style="1" customWidth="1"/>
    <col min="14084" max="14084" width="12" style="1" customWidth="1"/>
    <col min="14085" max="14085" width="11.42578125" style="1" customWidth="1"/>
    <col min="14086" max="14086" width="13.140625" style="1" customWidth="1"/>
    <col min="14087" max="14087" width="11.140625" style="1" customWidth="1"/>
    <col min="14088" max="14088" width="10.7109375" style="1" customWidth="1"/>
    <col min="14089" max="14089" width="9" style="1" customWidth="1"/>
    <col min="14090" max="14090" width="9.140625" style="1" customWidth="1"/>
    <col min="14091" max="14091" width="10" style="1" customWidth="1"/>
    <col min="14092" max="14092" width="1.7109375" style="1" customWidth="1"/>
    <col min="14093" max="14093" width="12.42578125" style="1" customWidth="1"/>
    <col min="14094" max="14094" width="2" style="1" customWidth="1"/>
    <col min="14095" max="14095" width="13.85546875" style="1" customWidth="1"/>
    <col min="14096" max="14096" width="3.85546875" style="1" customWidth="1"/>
    <col min="14097" max="14097" width="12.42578125" style="1" customWidth="1"/>
    <col min="14098" max="14098" width="12.5703125" style="1" customWidth="1"/>
    <col min="14099" max="14099" width="12.7109375" style="1" bestFit="1" customWidth="1"/>
    <col min="14100" max="14102" width="6.85546875" style="1"/>
    <col min="14103" max="14103" width="10.140625" style="1" bestFit="1" customWidth="1"/>
    <col min="14104" max="14104" width="6.85546875" style="1"/>
    <col min="14105" max="14105" width="10.140625" style="1" bestFit="1" customWidth="1"/>
    <col min="14106" max="14336" width="6.85546875" style="1"/>
    <col min="14337" max="14337" width="28.5703125" style="1" customWidth="1"/>
    <col min="14338" max="14338" width="13.5703125" style="1" customWidth="1"/>
    <col min="14339" max="14339" width="11.7109375" style="1" customWidth="1"/>
    <col min="14340" max="14340" width="12" style="1" customWidth="1"/>
    <col min="14341" max="14341" width="11.42578125" style="1" customWidth="1"/>
    <col min="14342" max="14342" width="13.140625" style="1" customWidth="1"/>
    <col min="14343" max="14343" width="11.140625" style="1" customWidth="1"/>
    <col min="14344" max="14344" width="10.7109375" style="1" customWidth="1"/>
    <col min="14345" max="14345" width="9" style="1" customWidth="1"/>
    <col min="14346" max="14346" width="9.140625" style="1" customWidth="1"/>
    <col min="14347" max="14347" width="10" style="1" customWidth="1"/>
    <col min="14348" max="14348" width="1.7109375" style="1" customWidth="1"/>
    <col min="14349" max="14349" width="12.42578125" style="1" customWidth="1"/>
    <col min="14350" max="14350" width="2" style="1" customWidth="1"/>
    <col min="14351" max="14351" width="13.85546875" style="1" customWidth="1"/>
    <col min="14352" max="14352" width="3.85546875" style="1" customWidth="1"/>
    <col min="14353" max="14353" width="12.42578125" style="1" customWidth="1"/>
    <col min="14354" max="14354" width="12.5703125" style="1" customWidth="1"/>
    <col min="14355" max="14355" width="12.7109375" style="1" bestFit="1" customWidth="1"/>
    <col min="14356" max="14358" width="6.85546875" style="1"/>
    <col min="14359" max="14359" width="10.140625" style="1" bestFit="1" customWidth="1"/>
    <col min="14360" max="14360" width="6.85546875" style="1"/>
    <col min="14361" max="14361" width="10.140625" style="1" bestFit="1" customWidth="1"/>
    <col min="14362" max="14592" width="6.85546875" style="1"/>
    <col min="14593" max="14593" width="28.5703125" style="1" customWidth="1"/>
    <col min="14594" max="14594" width="13.5703125" style="1" customWidth="1"/>
    <col min="14595" max="14595" width="11.7109375" style="1" customWidth="1"/>
    <col min="14596" max="14596" width="12" style="1" customWidth="1"/>
    <col min="14597" max="14597" width="11.42578125" style="1" customWidth="1"/>
    <col min="14598" max="14598" width="13.140625" style="1" customWidth="1"/>
    <col min="14599" max="14599" width="11.140625" style="1" customWidth="1"/>
    <col min="14600" max="14600" width="10.7109375" style="1" customWidth="1"/>
    <col min="14601" max="14601" width="9" style="1" customWidth="1"/>
    <col min="14602" max="14602" width="9.140625" style="1" customWidth="1"/>
    <col min="14603" max="14603" width="10" style="1" customWidth="1"/>
    <col min="14604" max="14604" width="1.7109375" style="1" customWidth="1"/>
    <col min="14605" max="14605" width="12.42578125" style="1" customWidth="1"/>
    <col min="14606" max="14606" width="2" style="1" customWidth="1"/>
    <col min="14607" max="14607" width="13.85546875" style="1" customWidth="1"/>
    <col min="14608" max="14608" width="3.85546875" style="1" customWidth="1"/>
    <col min="14609" max="14609" width="12.42578125" style="1" customWidth="1"/>
    <col min="14610" max="14610" width="12.5703125" style="1" customWidth="1"/>
    <col min="14611" max="14611" width="12.7109375" style="1" bestFit="1" customWidth="1"/>
    <col min="14612" max="14614" width="6.85546875" style="1"/>
    <col min="14615" max="14615" width="10.140625" style="1" bestFit="1" customWidth="1"/>
    <col min="14616" max="14616" width="6.85546875" style="1"/>
    <col min="14617" max="14617" width="10.140625" style="1" bestFit="1" customWidth="1"/>
    <col min="14618" max="14848" width="6.85546875" style="1"/>
    <col min="14849" max="14849" width="28.5703125" style="1" customWidth="1"/>
    <col min="14850" max="14850" width="13.5703125" style="1" customWidth="1"/>
    <col min="14851" max="14851" width="11.7109375" style="1" customWidth="1"/>
    <col min="14852" max="14852" width="12" style="1" customWidth="1"/>
    <col min="14853" max="14853" width="11.42578125" style="1" customWidth="1"/>
    <col min="14854" max="14854" width="13.140625" style="1" customWidth="1"/>
    <col min="14855" max="14855" width="11.140625" style="1" customWidth="1"/>
    <col min="14856" max="14856" width="10.7109375" style="1" customWidth="1"/>
    <col min="14857" max="14857" width="9" style="1" customWidth="1"/>
    <col min="14858" max="14858" width="9.140625" style="1" customWidth="1"/>
    <col min="14859" max="14859" width="10" style="1" customWidth="1"/>
    <col min="14860" max="14860" width="1.7109375" style="1" customWidth="1"/>
    <col min="14861" max="14861" width="12.42578125" style="1" customWidth="1"/>
    <col min="14862" max="14862" width="2" style="1" customWidth="1"/>
    <col min="14863" max="14863" width="13.85546875" style="1" customWidth="1"/>
    <col min="14864" max="14864" width="3.85546875" style="1" customWidth="1"/>
    <col min="14865" max="14865" width="12.42578125" style="1" customWidth="1"/>
    <col min="14866" max="14866" width="12.5703125" style="1" customWidth="1"/>
    <col min="14867" max="14867" width="12.7109375" style="1" bestFit="1" customWidth="1"/>
    <col min="14868" max="14870" width="6.85546875" style="1"/>
    <col min="14871" max="14871" width="10.140625" style="1" bestFit="1" customWidth="1"/>
    <col min="14872" max="14872" width="6.85546875" style="1"/>
    <col min="14873" max="14873" width="10.140625" style="1" bestFit="1" customWidth="1"/>
    <col min="14874" max="15104" width="6.85546875" style="1"/>
    <col min="15105" max="15105" width="28.5703125" style="1" customWidth="1"/>
    <col min="15106" max="15106" width="13.5703125" style="1" customWidth="1"/>
    <col min="15107" max="15107" width="11.7109375" style="1" customWidth="1"/>
    <col min="15108" max="15108" width="12" style="1" customWidth="1"/>
    <col min="15109" max="15109" width="11.42578125" style="1" customWidth="1"/>
    <col min="15110" max="15110" width="13.140625" style="1" customWidth="1"/>
    <col min="15111" max="15111" width="11.140625" style="1" customWidth="1"/>
    <col min="15112" max="15112" width="10.7109375" style="1" customWidth="1"/>
    <col min="15113" max="15113" width="9" style="1" customWidth="1"/>
    <col min="15114" max="15114" width="9.140625" style="1" customWidth="1"/>
    <col min="15115" max="15115" width="10" style="1" customWidth="1"/>
    <col min="15116" max="15116" width="1.7109375" style="1" customWidth="1"/>
    <col min="15117" max="15117" width="12.42578125" style="1" customWidth="1"/>
    <col min="15118" max="15118" width="2" style="1" customWidth="1"/>
    <col min="15119" max="15119" width="13.85546875" style="1" customWidth="1"/>
    <col min="15120" max="15120" width="3.85546875" style="1" customWidth="1"/>
    <col min="15121" max="15121" width="12.42578125" style="1" customWidth="1"/>
    <col min="15122" max="15122" width="12.5703125" style="1" customWidth="1"/>
    <col min="15123" max="15123" width="12.7109375" style="1" bestFit="1" customWidth="1"/>
    <col min="15124" max="15126" width="6.85546875" style="1"/>
    <col min="15127" max="15127" width="10.140625" style="1" bestFit="1" customWidth="1"/>
    <col min="15128" max="15128" width="6.85546875" style="1"/>
    <col min="15129" max="15129" width="10.140625" style="1" bestFit="1" customWidth="1"/>
    <col min="15130" max="15360" width="6.85546875" style="1"/>
    <col min="15361" max="15361" width="28.5703125" style="1" customWidth="1"/>
    <col min="15362" max="15362" width="13.5703125" style="1" customWidth="1"/>
    <col min="15363" max="15363" width="11.7109375" style="1" customWidth="1"/>
    <col min="15364" max="15364" width="12" style="1" customWidth="1"/>
    <col min="15365" max="15365" width="11.42578125" style="1" customWidth="1"/>
    <col min="15366" max="15366" width="13.140625" style="1" customWidth="1"/>
    <col min="15367" max="15367" width="11.140625" style="1" customWidth="1"/>
    <col min="15368" max="15368" width="10.7109375" style="1" customWidth="1"/>
    <col min="15369" max="15369" width="9" style="1" customWidth="1"/>
    <col min="15370" max="15370" width="9.140625" style="1" customWidth="1"/>
    <col min="15371" max="15371" width="10" style="1" customWidth="1"/>
    <col min="15372" max="15372" width="1.7109375" style="1" customWidth="1"/>
    <col min="15373" max="15373" width="12.42578125" style="1" customWidth="1"/>
    <col min="15374" max="15374" width="2" style="1" customWidth="1"/>
    <col min="15375" max="15375" width="13.85546875" style="1" customWidth="1"/>
    <col min="15376" max="15376" width="3.85546875" style="1" customWidth="1"/>
    <col min="15377" max="15377" width="12.42578125" style="1" customWidth="1"/>
    <col min="15378" max="15378" width="12.5703125" style="1" customWidth="1"/>
    <col min="15379" max="15379" width="12.7109375" style="1" bestFit="1" customWidth="1"/>
    <col min="15380" max="15382" width="6.85546875" style="1"/>
    <col min="15383" max="15383" width="10.140625" style="1" bestFit="1" customWidth="1"/>
    <col min="15384" max="15384" width="6.85546875" style="1"/>
    <col min="15385" max="15385" width="10.140625" style="1" bestFit="1" customWidth="1"/>
    <col min="15386" max="15616" width="6.85546875" style="1"/>
    <col min="15617" max="15617" width="28.5703125" style="1" customWidth="1"/>
    <col min="15618" max="15618" width="13.5703125" style="1" customWidth="1"/>
    <col min="15619" max="15619" width="11.7109375" style="1" customWidth="1"/>
    <col min="15620" max="15620" width="12" style="1" customWidth="1"/>
    <col min="15621" max="15621" width="11.42578125" style="1" customWidth="1"/>
    <col min="15622" max="15622" width="13.140625" style="1" customWidth="1"/>
    <col min="15623" max="15623" width="11.140625" style="1" customWidth="1"/>
    <col min="15624" max="15624" width="10.7109375" style="1" customWidth="1"/>
    <col min="15625" max="15625" width="9" style="1" customWidth="1"/>
    <col min="15626" max="15626" width="9.140625" style="1" customWidth="1"/>
    <col min="15627" max="15627" width="10" style="1" customWidth="1"/>
    <col min="15628" max="15628" width="1.7109375" style="1" customWidth="1"/>
    <col min="15629" max="15629" width="12.42578125" style="1" customWidth="1"/>
    <col min="15630" max="15630" width="2" style="1" customWidth="1"/>
    <col min="15631" max="15631" width="13.85546875" style="1" customWidth="1"/>
    <col min="15632" max="15632" width="3.85546875" style="1" customWidth="1"/>
    <col min="15633" max="15633" width="12.42578125" style="1" customWidth="1"/>
    <col min="15634" max="15634" width="12.5703125" style="1" customWidth="1"/>
    <col min="15635" max="15635" width="12.7109375" style="1" bestFit="1" customWidth="1"/>
    <col min="15636" max="15638" width="6.85546875" style="1"/>
    <col min="15639" max="15639" width="10.140625" style="1" bestFit="1" customWidth="1"/>
    <col min="15640" max="15640" width="6.85546875" style="1"/>
    <col min="15641" max="15641" width="10.140625" style="1" bestFit="1" customWidth="1"/>
    <col min="15642" max="15872" width="6.85546875" style="1"/>
    <col min="15873" max="15873" width="28.5703125" style="1" customWidth="1"/>
    <col min="15874" max="15874" width="13.5703125" style="1" customWidth="1"/>
    <col min="15875" max="15875" width="11.7109375" style="1" customWidth="1"/>
    <col min="15876" max="15876" width="12" style="1" customWidth="1"/>
    <col min="15877" max="15877" width="11.42578125" style="1" customWidth="1"/>
    <col min="15878" max="15878" width="13.140625" style="1" customWidth="1"/>
    <col min="15879" max="15879" width="11.140625" style="1" customWidth="1"/>
    <col min="15880" max="15880" width="10.7109375" style="1" customWidth="1"/>
    <col min="15881" max="15881" width="9" style="1" customWidth="1"/>
    <col min="15882" max="15882" width="9.140625" style="1" customWidth="1"/>
    <col min="15883" max="15883" width="10" style="1" customWidth="1"/>
    <col min="15884" max="15884" width="1.7109375" style="1" customWidth="1"/>
    <col min="15885" max="15885" width="12.42578125" style="1" customWidth="1"/>
    <col min="15886" max="15886" width="2" style="1" customWidth="1"/>
    <col min="15887" max="15887" width="13.85546875" style="1" customWidth="1"/>
    <col min="15888" max="15888" width="3.85546875" style="1" customWidth="1"/>
    <col min="15889" max="15889" width="12.42578125" style="1" customWidth="1"/>
    <col min="15890" max="15890" width="12.5703125" style="1" customWidth="1"/>
    <col min="15891" max="15891" width="12.7109375" style="1" bestFit="1" customWidth="1"/>
    <col min="15892" max="15894" width="6.85546875" style="1"/>
    <col min="15895" max="15895" width="10.140625" style="1" bestFit="1" customWidth="1"/>
    <col min="15896" max="15896" width="6.85546875" style="1"/>
    <col min="15897" max="15897" width="10.140625" style="1" bestFit="1" customWidth="1"/>
    <col min="15898" max="16128" width="6.85546875" style="1"/>
    <col min="16129" max="16129" width="28.5703125" style="1" customWidth="1"/>
    <col min="16130" max="16130" width="13.5703125" style="1" customWidth="1"/>
    <col min="16131" max="16131" width="11.7109375" style="1" customWidth="1"/>
    <col min="16132" max="16132" width="12" style="1" customWidth="1"/>
    <col min="16133" max="16133" width="11.42578125" style="1" customWidth="1"/>
    <col min="16134" max="16134" width="13.140625" style="1" customWidth="1"/>
    <col min="16135" max="16135" width="11.140625" style="1" customWidth="1"/>
    <col min="16136" max="16136" width="10.7109375" style="1" customWidth="1"/>
    <col min="16137" max="16137" width="9" style="1" customWidth="1"/>
    <col min="16138" max="16138" width="9.140625" style="1" customWidth="1"/>
    <col min="16139" max="16139" width="10" style="1" customWidth="1"/>
    <col min="16140" max="16140" width="1.7109375" style="1" customWidth="1"/>
    <col min="16141" max="16141" width="12.42578125" style="1" customWidth="1"/>
    <col min="16142" max="16142" width="2" style="1" customWidth="1"/>
    <col min="16143" max="16143" width="13.85546875" style="1" customWidth="1"/>
    <col min="16144" max="16144" width="3.85546875" style="1" customWidth="1"/>
    <col min="16145" max="16145" width="12.42578125" style="1" customWidth="1"/>
    <col min="16146" max="16146" width="12.5703125" style="1" customWidth="1"/>
    <col min="16147" max="16147" width="12.7109375" style="1" bestFit="1" customWidth="1"/>
    <col min="16148" max="16150" width="6.85546875" style="1"/>
    <col min="16151" max="16151" width="10.140625" style="1" bestFit="1" customWidth="1"/>
    <col min="16152" max="16152" width="6.85546875" style="1"/>
    <col min="16153" max="16153" width="10.140625" style="1" bestFit="1" customWidth="1"/>
    <col min="16154" max="16384" width="6.85546875" style="1"/>
  </cols>
  <sheetData>
    <row r="1" spans="1:23" ht="48" customHeight="1" x14ac:dyDescent="0.2">
      <c r="A1" s="95" t="s">
        <v>93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2">
        <f ca="1">YEAR(TODAY())-1</f>
        <v>2024</v>
      </c>
      <c r="Q1" s="1"/>
    </row>
    <row r="2" spans="1:23" ht="33" customHeight="1" x14ac:dyDescent="0.2">
      <c r="A2" s="3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8"/>
      <c r="L2" s="4"/>
      <c r="M2" s="5" t="s">
        <v>2</v>
      </c>
      <c r="Q2" s="6" t="s">
        <v>3</v>
      </c>
      <c r="R2" s="7" t="s">
        <v>4</v>
      </c>
    </row>
    <row r="3" spans="1:23" ht="81" customHeight="1" x14ac:dyDescent="0.2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3" t="s">
        <v>12</v>
      </c>
      <c r="I3" s="14" t="s">
        <v>13</v>
      </c>
      <c r="J3" s="13" t="s">
        <v>14</v>
      </c>
      <c r="K3" s="15" t="s">
        <v>15</v>
      </c>
      <c r="L3" s="16"/>
      <c r="M3" s="11" t="s">
        <v>16</v>
      </c>
      <c r="N3" s="17"/>
      <c r="O3" s="11" t="s">
        <v>17</v>
      </c>
      <c r="P3" s="18"/>
      <c r="Q3" s="19" t="s">
        <v>18</v>
      </c>
      <c r="R3" s="20" t="s">
        <v>19</v>
      </c>
      <c r="S3" s="65" t="s">
        <v>20</v>
      </c>
    </row>
    <row r="4" spans="1:23" ht="15" customHeight="1" x14ac:dyDescent="0.25">
      <c r="A4" s="22" t="s">
        <v>21</v>
      </c>
      <c r="B4" s="23">
        <v>916740</v>
      </c>
      <c r="C4" s="24"/>
      <c r="D4" s="25"/>
      <c r="E4" s="26"/>
      <c r="F4" s="25"/>
      <c r="G4" s="27">
        <v>880</v>
      </c>
      <c r="H4" s="25">
        <v>17430</v>
      </c>
      <c r="I4" s="25"/>
      <c r="J4" s="25"/>
      <c r="K4" s="28">
        <v>379</v>
      </c>
      <c r="L4" s="25"/>
      <c r="M4" s="28">
        <f>53.22*1000</f>
        <v>53220</v>
      </c>
      <c r="N4" s="29"/>
      <c r="O4" s="56">
        <f t="shared" ref="O4:O35" si="0">SUM(B4:M4)</f>
        <v>988649</v>
      </c>
      <c r="P4" s="18"/>
      <c r="Q4" s="31">
        <f>(S4-M4)</f>
        <v>47319.999999999985</v>
      </c>
      <c r="R4" s="32"/>
      <c r="S4" s="32">
        <f>(4.63+78.31+17.6)*1000</f>
        <v>100539.99999999999</v>
      </c>
      <c r="W4" s="1">
        <v>1000</v>
      </c>
    </row>
    <row r="5" spans="1:23" ht="15" customHeight="1" x14ac:dyDescent="0.25">
      <c r="A5" s="22" t="s">
        <v>22</v>
      </c>
      <c r="B5" s="23">
        <v>857050</v>
      </c>
      <c r="C5" s="24"/>
      <c r="D5" s="25"/>
      <c r="E5" s="26">
        <v>1104190</v>
      </c>
      <c r="F5" s="25"/>
      <c r="G5" s="27">
        <v>43500</v>
      </c>
      <c r="H5" s="25">
        <v>19010</v>
      </c>
      <c r="I5" s="25"/>
      <c r="J5" s="25"/>
      <c r="K5" s="28">
        <v>775</v>
      </c>
      <c r="L5" s="25"/>
      <c r="M5" s="28">
        <f>138.49*1000</f>
        <v>138490</v>
      </c>
      <c r="N5" s="29"/>
      <c r="O5" s="56">
        <f t="shared" si="0"/>
        <v>2163015</v>
      </c>
      <c r="P5" s="18"/>
      <c r="Q5" s="31">
        <f t="shared" ref="Q5:Q68" si="1">(S5-M5)</f>
        <v>245970</v>
      </c>
      <c r="R5" s="32"/>
      <c r="S5" s="32">
        <v>384460</v>
      </c>
    </row>
    <row r="6" spans="1:23" ht="15" customHeight="1" x14ac:dyDescent="0.25">
      <c r="A6" s="22" t="s">
        <v>23</v>
      </c>
      <c r="B6" s="23">
        <v>1554400</v>
      </c>
      <c r="C6" s="24"/>
      <c r="D6" s="25"/>
      <c r="E6" s="26"/>
      <c r="F6" s="25">
        <v>194560</v>
      </c>
      <c r="G6" s="27">
        <v>91160</v>
      </c>
      <c r="H6" s="25"/>
      <c r="I6" s="25"/>
      <c r="J6" s="25"/>
      <c r="K6" s="28">
        <v>2922</v>
      </c>
      <c r="L6" s="25"/>
      <c r="M6" s="28">
        <f>120.36*1000</f>
        <v>120360</v>
      </c>
      <c r="N6" s="29"/>
      <c r="O6" s="56">
        <f t="shared" si="0"/>
        <v>1963402</v>
      </c>
      <c r="P6" s="18"/>
      <c r="Q6" s="31">
        <f t="shared" si="1"/>
        <v>213760</v>
      </c>
      <c r="R6" s="32"/>
      <c r="S6" s="32">
        <v>334120</v>
      </c>
    </row>
    <row r="7" spans="1:23" ht="25.5" customHeight="1" x14ac:dyDescent="0.25">
      <c r="A7" s="22" t="s">
        <v>24</v>
      </c>
      <c r="B7" s="23">
        <v>1802100</v>
      </c>
      <c r="C7" s="24"/>
      <c r="D7" s="25"/>
      <c r="E7" s="26"/>
      <c r="F7" s="25">
        <v>260700</v>
      </c>
      <c r="G7" s="27">
        <v>20460</v>
      </c>
      <c r="H7" s="25"/>
      <c r="I7" s="25"/>
      <c r="J7" s="25">
        <v>3710</v>
      </c>
      <c r="K7" s="28">
        <v>991</v>
      </c>
      <c r="L7" s="25"/>
      <c r="M7" s="28">
        <f>107.77*1000</f>
        <v>107770</v>
      </c>
      <c r="N7" s="29"/>
      <c r="O7" s="56">
        <f t="shared" si="0"/>
        <v>2195731</v>
      </c>
      <c r="P7" s="18"/>
      <c r="Q7" s="31">
        <f t="shared" si="1"/>
        <v>93270</v>
      </c>
      <c r="R7" s="32"/>
      <c r="S7" s="32">
        <v>201040</v>
      </c>
    </row>
    <row r="8" spans="1:23" ht="15" customHeight="1" x14ac:dyDescent="0.25">
      <c r="A8" s="22" t="s">
        <v>25</v>
      </c>
      <c r="B8" s="23">
        <v>30260</v>
      </c>
      <c r="C8" s="34"/>
      <c r="D8" s="25"/>
      <c r="E8" s="26"/>
      <c r="F8" s="25"/>
      <c r="G8" s="27"/>
      <c r="H8" s="25"/>
      <c r="I8" s="25"/>
      <c r="J8" s="25"/>
      <c r="K8" s="28">
        <v>0</v>
      </c>
      <c r="L8" s="25"/>
      <c r="M8" s="28"/>
      <c r="N8" s="29"/>
      <c r="O8" s="56">
        <f t="shared" si="0"/>
        <v>30260</v>
      </c>
      <c r="P8" s="18"/>
      <c r="Q8" s="31">
        <f t="shared" si="1"/>
        <v>0</v>
      </c>
      <c r="R8" s="32"/>
      <c r="S8" s="32"/>
    </row>
    <row r="9" spans="1:23" ht="15" customHeight="1" x14ac:dyDescent="0.25">
      <c r="A9" s="22" t="s">
        <v>26</v>
      </c>
      <c r="B9" s="23">
        <v>16162210</v>
      </c>
      <c r="C9" s="24">
        <v>7100</v>
      </c>
      <c r="D9" s="25"/>
      <c r="E9" s="26">
        <v>229620</v>
      </c>
      <c r="F9" s="25">
        <v>10941910</v>
      </c>
      <c r="G9" s="27">
        <v>119840</v>
      </c>
      <c r="H9" s="25">
        <v>291140</v>
      </c>
      <c r="I9" s="25">
        <v>68610</v>
      </c>
      <c r="J9" s="25"/>
      <c r="K9" s="28">
        <v>0</v>
      </c>
      <c r="L9" s="25"/>
      <c r="M9" s="28">
        <f>272.64*1000</f>
        <v>272640</v>
      </c>
      <c r="N9" s="29"/>
      <c r="O9" s="56">
        <f t="shared" si="0"/>
        <v>28093070</v>
      </c>
      <c r="P9" s="18"/>
      <c r="Q9" s="31">
        <f t="shared" si="1"/>
        <v>2114660</v>
      </c>
      <c r="R9" s="32"/>
      <c r="S9" s="32">
        <v>2387300</v>
      </c>
    </row>
    <row r="10" spans="1:23" ht="15" customHeight="1" x14ac:dyDescent="0.25">
      <c r="A10" s="22" t="s">
        <v>27</v>
      </c>
      <c r="B10" s="23">
        <v>1309500</v>
      </c>
      <c r="C10" s="24"/>
      <c r="D10" s="25"/>
      <c r="E10" s="26">
        <v>646240</v>
      </c>
      <c r="F10" s="25">
        <v>377510</v>
      </c>
      <c r="G10" s="27">
        <v>69220</v>
      </c>
      <c r="H10" s="25"/>
      <c r="I10" s="25"/>
      <c r="J10" s="25"/>
      <c r="K10" s="28">
        <v>962</v>
      </c>
      <c r="L10" s="25"/>
      <c r="M10" s="28">
        <f>155.48*1000</f>
        <v>155480</v>
      </c>
      <c r="N10" s="29"/>
      <c r="O10" s="56">
        <f t="shared" si="0"/>
        <v>2558912</v>
      </c>
      <c r="P10" s="18"/>
      <c r="Q10" s="31">
        <f t="shared" si="1"/>
        <v>157060</v>
      </c>
      <c r="R10" s="32"/>
      <c r="S10" s="32">
        <f>(79.36+233.18)*1000</f>
        <v>312540</v>
      </c>
    </row>
    <row r="11" spans="1:23" ht="15" customHeight="1" x14ac:dyDescent="0.25">
      <c r="A11" s="22" t="s">
        <v>28</v>
      </c>
      <c r="B11" s="23">
        <v>91920</v>
      </c>
      <c r="C11" s="24"/>
      <c r="D11" s="25"/>
      <c r="E11" s="26">
        <v>398550</v>
      </c>
      <c r="F11" s="25"/>
      <c r="G11" s="27"/>
      <c r="H11" s="25"/>
      <c r="I11" s="25"/>
      <c r="J11" s="25"/>
      <c r="K11" s="28">
        <v>0</v>
      </c>
      <c r="L11" s="25"/>
      <c r="M11" s="28">
        <f>20.4*1000</f>
        <v>20400</v>
      </c>
      <c r="N11" s="29"/>
      <c r="O11" s="56">
        <f t="shared" si="0"/>
        <v>510870</v>
      </c>
      <c r="P11" s="18"/>
      <c r="Q11" s="31">
        <f t="shared" si="1"/>
        <v>14950</v>
      </c>
      <c r="R11" s="32"/>
      <c r="S11" s="32">
        <f>(19.3+16.05)*1000</f>
        <v>35350</v>
      </c>
    </row>
    <row r="12" spans="1:23" ht="15" customHeight="1" x14ac:dyDescent="0.25">
      <c r="A12" s="22" t="s">
        <v>29</v>
      </c>
      <c r="B12" s="23">
        <v>1059320</v>
      </c>
      <c r="C12" s="24">
        <v>694230</v>
      </c>
      <c r="D12" s="25"/>
      <c r="E12" s="26">
        <v>26330</v>
      </c>
      <c r="F12" s="25"/>
      <c r="G12" s="27"/>
      <c r="H12" s="25">
        <v>57090</v>
      </c>
      <c r="I12" s="25"/>
      <c r="J12" s="25"/>
      <c r="K12" s="28">
        <v>956</v>
      </c>
      <c r="L12" s="25"/>
      <c r="M12" s="28">
        <f>106.1*1000</f>
        <v>106100</v>
      </c>
      <c r="N12" s="29"/>
      <c r="O12" s="56">
        <f t="shared" si="0"/>
        <v>1944026</v>
      </c>
      <c r="P12" s="18"/>
      <c r="Q12" s="31">
        <f t="shared" si="1"/>
        <v>91820</v>
      </c>
      <c r="R12" s="32"/>
      <c r="S12" s="32">
        <v>197920</v>
      </c>
    </row>
    <row r="13" spans="1:23" ht="24" customHeight="1" x14ac:dyDescent="0.25">
      <c r="A13" s="22" t="s">
        <v>30</v>
      </c>
      <c r="B13" s="23">
        <v>2350970</v>
      </c>
      <c r="C13" s="24"/>
      <c r="D13" s="25"/>
      <c r="E13" s="26"/>
      <c r="F13" s="25">
        <v>745590</v>
      </c>
      <c r="G13" s="27">
        <v>8240</v>
      </c>
      <c r="H13" s="25">
        <v>26020</v>
      </c>
      <c r="I13" s="25"/>
      <c r="J13" s="25"/>
      <c r="K13" s="28">
        <v>227</v>
      </c>
      <c r="L13" s="25"/>
      <c r="M13" s="28">
        <f>197.15*1000</f>
        <v>197150</v>
      </c>
      <c r="N13" s="29"/>
      <c r="O13" s="56">
        <f t="shared" si="0"/>
        <v>3328197</v>
      </c>
      <c r="P13" s="18"/>
      <c r="Q13" s="31">
        <f t="shared" si="1"/>
        <v>350130</v>
      </c>
      <c r="R13" s="32"/>
      <c r="S13" s="32">
        <v>547280</v>
      </c>
    </row>
    <row r="14" spans="1:23" ht="22.5" customHeight="1" x14ac:dyDescent="0.25">
      <c r="A14" s="22" t="s">
        <v>31</v>
      </c>
      <c r="B14" s="23">
        <v>1804010</v>
      </c>
      <c r="C14" s="24"/>
      <c r="D14" s="25"/>
      <c r="E14" s="26"/>
      <c r="F14" s="25"/>
      <c r="G14" s="27"/>
      <c r="H14" s="25">
        <v>11000</v>
      </c>
      <c r="I14" s="25"/>
      <c r="J14" s="25"/>
      <c r="K14" s="28">
        <v>542</v>
      </c>
      <c r="L14" s="25"/>
      <c r="M14" s="28">
        <f>28.88*1000</f>
        <v>28880</v>
      </c>
      <c r="N14" s="29"/>
      <c r="O14" s="56">
        <f t="shared" si="0"/>
        <v>1844432</v>
      </c>
      <c r="P14" s="18"/>
      <c r="Q14" s="31">
        <f t="shared" si="1"/>
        <v>18360</v>
      </c>
      <c r="R14" s="32"/>
      <c r="S14" s="32">
        <v>47240</v>
      </c>
    </row>
    <row r="15" spans="1:23" ht="21" customHeight="1" x14ac:dyDescent="0.25">
      <c r="A15" s="22" t="s">
        <v>32</v>
      </c>
      <c r="B15" s="23">
        <v>4145920</v>
      </c>
      <c r="C15" s="24">
        <v>363980</v>
      </c>
      <c r="D15" s="25">
        <v>117880</v>
      </c>
      <c r="E15" s="26"/>
      <c r="F15" s="25">
        <v>233620</v>
      </c>
      <c r="G15" s="27">
        <v>3590</v>
      </c>
      <c r="H15" s="25">
        <v>32420</v>
      </c>
      <c r="I15" s="25"/>
      <c r="J15" s="25"/>
      <c r="K15" s="28">
        <v>597</v>
      </c>
      <c r="L15" s="25"/>
      <c r="M15" s="28">
        <f>176.9*1000</f>
        <v>176900</v>
      </c>
      <c r="N15" s="29"/>
      <c r="O15" s="56">
        <f t="shared" si="0"/>
        <v>5074907</v>
      </c>
      <c r="P15" s="18"/>
      <c r="Q15" s="31">
        <f t="shared" si="1"/>
        <v>153090</v>
      </c>
      <c r="R15" s="32"/>
      <c r="S15" s="32">
        <v>329990</v>
      </c>
    </row>
    <row r="16" spans="1:23" ht="30" customHeight="1" x14ac:dyDescent="0.25">
      <c r="A16" s="22" t="s">
        <v>33</v>
      </c>
      <c r="B16" s="23">
        <v>2163360</v>
      </c>
      <c r="C16" s="24"/>
      <c r="D16" s="25"/>
      <c r="E16" s="26"/>
      <c r="F16" s="25"/>
      <c r="G16" s="27"/>
      <c r="H16" s="25"/>
      <c r="I16" s="25"/>
      <c r="J16" s="25"/>
      <c r="K16" s="28">
        <v>1076</v>
      </c>
      <c r="L16" s="25"/>
      <c r="M16" s="28">
        <f>133.89*1000</f>
        <v>133890</v>
      </c>
      <c r="N16" s="29"/>
      <c r="O16" s="56">
        <f t="shared" si="0"/>
        <v>2298326</v>
      </c>
      <c r="P16" s="18"/>
      <c r="Q16" s="31">
        <f t="shared" si="1"/>
        <v>237790</v>
      </c>
      <c r="R16" s="32"/>
      <c r="S16" s="32">
        <v>371680</v>
      </c>
      <c r="W16" s="35"/>
    </row>
    <row r="17" spans="1:19" ht="15" customHeight="1" x14ac:dyDescent="0.25">
      <c r="A17" s="22" t="s">
        <v>34</v>
      </c>
      <c r="B17" s="23">
        <v>923530</v>
      </c>
      <c r="C17" s="24"/>
      <c r="D17" s="25"/>
      <c r="E17" s="26"/>
      <c r="F17" s="25"/>
      <c r="G17" s="27">
        <v>2640</v>
      </c>
      <c r="H17" s="25"/>
      <c r="I17" s="25"/>
      <c r="J17" s="25">
        <v>222080</v>
      </c>
      <c r="K17" s="28">
        <v>746</v>
      </c>
      <c r="L17" s="25"/>
      <c r="M17" s="28"/>
      <c r="N17" s="29"/>
      <c r="O17" s="56">
        <f t="shared" si="0"/>
        <v>1148996</v>
      </c>
      <c r="P17" s="18"/>
      <c r="Q17" s="31">
        <f t="shared" si="1"/>
        <v>0</v>
      </c>
      <c r="R17" s="32"/>
      <c r="S17" s="32">
        <v>0</v>
      </c>
    </row>
    <row r="18" spans="1:19" ht="15" customHeight="1" x14ac:dyDescent="0.25">
      <c r="A18" s="22" t="s">
        <v>35</v>
      </c>
      <c r="B18" s="23">
        <v>1737580</v>
      </c>
      <c r="C18" s="24"/>
      <c r="D18" s="25"/>
      <c r="E18" s="26"/>
      <c r="F18" s="25"/>
      <c r="G18" s="27">
        <v>71210</v>
      </c>
      <c r="H18" s="25">
        <v>24190</v>
      </c>
      <c r="I18" s="25"/>
      <c r="J18" s="25"/>
      <c r="K18" s="28">
        <v>0</v>
      </c>
      <c r="L18" s="25"/>
      <c r="M18" s="28"/>
      <c r="N18" s="29"/>
      <c r="O18" s="56">
        <f t="shared" si="0"/>
        <v>1832980</v>
      </c>
      <c r="P18" s="18"/>
      <c r="Q18" s="31">
        <f t="shared" si="1"/>
        <v>0</v>
      </c>
      <c r="R18" s="32"/>
      <c r="S18" s="32">
        <v>0</v>
      </c>
    </row>
    <row r="19" spans="1:19" ht="15" customHeight="1" x14ac:dyDescent="0.25">
      <c r="A19" s="22" t="s">
        <v>36</v>
      </c>
      <c r="B19" s="23">
        <v>1342950</v>
      </c>
      <c r="C19" s="24"/>
      <c r="D19" s="25"/>
      <c r="E19" s="26"/>
      <c r="F19" s="25">
        <v>305170</v>
      </c>
      <c r="G19" s="27">
        <v>17510</v>
      </c>
      <c r="H19" s="25"/>
      <c r="I19" s="25"/>
      <c r="J19" s="25">
        <v>5310</v>
      </c>
      <c r="K19" s="28">
        <v>0</v>
      </c>
      <c r="L19" s="25"/>
      <c r="M19" s="28">
        <f>103.18*1000</f>
        <v>103180</v>
      </c>
      <c r="N19" s="29"/>
      <c r="O19" s="56">
        <f t="shared" si="0"/>
        <v>1774120</v>
      </c>
      <c r="P19" s="18"/>
      <c r="Q19" s="31">
        <f t="shared" si="1"/>
        <v>89290</v>
      </c>
      <c r="R19" s="32"/>
      <c r="S19" s="32">
        <v>192470</v>
      </c>
    </row>
    <row r="20" spans="1:19" ht="15" customHeight="1" x14ac:dyDescent="0.25">
      <c r="A20" s="22" t="s">
        <v>37</v>
      </c>
      <c r="B20" s="23">
        <v>3266330</v>
      </c>
      <c r="C20" s="24"/>
      <c r="D20" s="25"/>
      <c r="E20" s="26"/>
      <c r="F20" s="25">
        <v>3090</v>
      </c>
      <c r="G20" s="27">
        <v>28610</v>
      </c>
      <c r="H20" s="25">
        <v>15670</v>
      </c>
      <c r="I20" s="25"/>
      <c r="J20" s="25"/>
      <c r="K20" s="28">
        <v>657</v>
      </c>
      <c r="L20" s="25"/>
      <c r="M20" s="28">
        <f>233.19*1000</f>
        <v>233190</v>
      </c>
      <c r="N20" s="29"/>
      <c r="O20" s="56">
        <f t="shared" si="0"/>
        <v>3547547</v>
      </c>
      <c r="P20" s="18"/>
      <c r="Q20" s="31">
        <f t="shared" si="1"/>
        <v>414150</v>
      </c>
      <c r="R20" s="32"/>
      <c r="S20" s="32">
        <v>647340</v>
      </c>
    </row>
    <row r="21" spans="1:19" ht="15" customHeight="1" x14ac:dyDescent="0.25">
      <c r="A21" s="22" t="s">
        <v>38</v>
      </c>
      <c r="B21" s="23">
        <v>557910</v>
      </c>
      <c r="C21" s="24"/>
      <c r="D21" s="25"/>
      <c r="E21" s="26">
        <v>472890</v>
      </c>
      <c r="F21" s="25"/>
      <c r="G21" s="27">
        <v>16600</v>
      </c>
      <c r="H21" s="25">
        <v>4530</v>
      </c>
      <c r="I21" s="25"/>
      <c r="J21" s="25"/>
      <c r="K21" s="28">
        <v>0</v>
      </c>
      <c r="L21" s="25"/>
      <c r="M21" s="28">
        <f>29.76*1000</f>
        <v>29760</v>
      </c>
      <c r="N21" s="29"/>
      <c r="O21" s="56">
        <f t="shared" si="0"/>
        <v>1081690</v>
      </c>
      <c r="P21" s="18"/>
      <c r="Q21" s="31">
        <f t="shared" si="1"/>
        <v>52860</v>
      </c>
      <c r="R21" s="32"/>
      <c r="S21" s="32">
        <v>82620</v>
      </c>
    </row>
    <row r="22" spans="1:19" ht="20.25" customHeight="1" x14ac:dyDescent="0.25">
      <c r="A22" s="22" t="s">
        <v>39</v>
      </c>
      <c r="B22" s="23">
        <v>1734690</v>
      </c>
      <c r="C22" s="24">
        <v>454920</v>
      </c>
      <c r="D22" s="25"/>
      <c r="E22" s="26"/>
      <c r="F22" s="25"/>
      <c r="G22" s="27">
        <v>412260</v>
      </c>
      <c r="H22" s="25"/>
      <c r="I22" s="25"/>
      <c r="J22" s="25"/>
      <c r="K22" s="28">
        <v>0</v>
      </c>
      <c r="L22" s="25"/>
      <c r="M22" s="28"/>
      <c r="N22" s="29"/>
      <c r="O22" s="56">
        <f t="shared" si="0"/>
        <v>2601870</v>
      </c>
      <c r="P22" s="18"/>
      <c r="Q22" s="31">
        <f t="shared" si="1"/>
        <v>0</v>
      </c>
      <c r="R22" s="32"/>
      <c r="S22" s="32"/>
    </row>
    <row r="23" spans="1:19" ht="15" customHeight="1" x14ac:dyDescent="0.25">
      <c r="A23" s="22" t="s">
        <v>40</v>
      </c>
      <c r="B23" s="23">
        <v>1274420</v>
      </c>
      <c r="C23" s="24"/>
      <c r="D23" s="25"/>
      <c r="E23" s="26"/>
      <c r="F23" s="25"/>
      <c r="G23" s="27"/>
      <c r="H23" s="25"/>
      <c r="I23" s="25"/>
      <c r="J23" s="25"/>
      <c r="K23" s="28">
        <v>1024</v>
      </c>
      <c r="L23" s="25"/>
      <c r="M23" s="28">
        <f>101.01*1000</f>
        <v>101010</v>
      </c>
      <c r="N23" s="29"/>
      <c r="O23" s="56">
        <f t="shared" si="0"/>
        <v>1376454</v>
      </c>
      <c r="P23" s="18"/>
      <c r="Q23" s="31">
        <f t="shared" si="1"/>
        <v>79080</v>
      </c>
      <c r="R23" s="32"/>
      <c r="S23" s="32">
        <f>(20.26+159.83)*1000</f>
        <v>180090</v>
      </c>
    </row>
    <row r="24" spans="1:19" ht="25.5" customHeight="1" x14ac:dyDescent="0.25">
      <c r="A24" s="22" t="s">
        <v>41</v>
      </c>
      <c r="B24" s="23">
        <v>1437210</v>
      </c>
      <c r="C24" s="24"/>
      <c r="D24" s="25">
        <v>89960</v>
      </c>
      <c r="E24" s="26">
        <v>142210</v>
      </c>
      <c r="F24" s="25">
        <v>14200</v>
      </c>
      <c r="G24" s="27">
        <v>111280</v>
      </c>
      <c r="H24" s="25">
        <v>23740</v>
      </c>
      <c r="I24" s="25"/>
      <c r="J24" s="25"/>
      <c r="K24" s="28">
        <v>877</v>
      </c>
      <c r="L24" s="25"/>
      <c r="M24" s="28">
        <f>92.21*1000</f>
        <v>92210</v>
      </c>
      <c r="N24" s="29"/>
      <c r="O24" s="56">
        <f t="shared" si="0"/>
        <v>1911687</v>
      </c>
      <c r="P24" s="18"/>
      <c r="Q24" s="31">
        <f t="shared" si="1"/>
        <v>163770</v>
      </c>
      <c r="R24" s="32"/>
      <c r="S24" s="32">
        <v>255980</v>
      </c>
    </row>
    <row r="25" spans="1:19" ht="15" customHeight="1" x14ac:dyDescent="0.25">
      <c r="A25" s="36" t="s">
        <v>42</v>
      </c>
      <c r="B25" s="23">
        <v>1850200</v>
      </c>
      <c r="C25" s="24"/>
      <c r="D25" s="25"/>
      <c r="E25" s="26"/>
      <c r="F25" s="25"/>
      <c r="G25" s="27"/>
      <c r="H25" s="25"/>
      <c r="I25" s="25"/>
      <c r="J25" s="25"/>
      <c r="K25" s="28">
        <v>379</v>
      </c>
      <c r="L25" s="25"/>
      <c r="M25" s="28">
        <f>76.12*1000</f>
        <v>76120</v>
      </c>
      <c r="N25" s="29"/>
      <c r="O25" s="56">
        <f t="shared" si="0"/>
        <v>1926699</v>
      </c>
      <c r="P25" s="18"/>
      <c r="Q25" s="31">
        <f t="shared" si="1"/>
        <v>135200</v>
      </c>
      <c r="R25" s="32"/>
      <c r="S25" s="32">
        <v>211320</v>
      </c>
    </row>
    <row r="26" spans="1:19" ht="15" customHeight="1" x14ac:dyDescent="0.25">
      <c r="A26" s="22" t="s">
        <v>43</v>
      </c>
      <c r="B26" s="23">
        <v>2218320</v>
      </c>
      <c r="C26" s="24"/>
      <c r="D26" s="25"/>
      <c r="E26" s="26"/>
      <c r="F26" s="25"/>
      <c r="G26" s="27">
        <v>40620</v>
      </c>
      <c r="H26" s="25">
        <v>7660</v>
      </c>
      <c r="I26" s="25"/>
      <c r="J26" s="25"/>
      <c r="K26" s="28">
        <v>581</v>
      </c>
      <c r="L26" s="25"/>
      <c r="M26" s="28">
        <f>111.12*1000</f>
        <v>111120</v>
      </c>
      <c r="N26" s="29"/>
      <c r="O26" s="56">
        <f t="shared" si="0"/>
        <v>2378301</v>
      </c>
      <c r="P26" s="18"/>
      <c r="Q26" s="31">
        <f t="shared" si="1"/>
        <v>96170</v>
      </c>
      <c r="R26" s="32"/>
      <c r="S26" s="32">
        <v>207290</v>
      </c>
    </row>
    <row r="27" spans="1:19" ht="15" customHeight="1" x14ac:dyDescent="0.25">
      <c r="A27" s="22" t="s">
        <v>44</v>
      </c>
      <c r="B27" s="23">
        <v>1507590</v>
      </c>
      <c r="C27" s="24"/>
      <c r="D27" s="25"/>
      <c r="E27" s="26"/>
      <c r="F27" s="25"/>
      <c r="G27" s="27"/>
      <c r="H27" s="25">
        <v>4900</v>
      </c>
      <c r="I27" s="25"/>
      <c r="J27" s="25">
        <v>215630</v>
      </c>
      <c r="K27" s="28">
        <v>802</v>
      </c>
      <c r="L27" s="25"/>
      <c r="M27" s="28">
        <f>13.03*1000</f>
        <v>13030</v>
      </c>
      <c r="N27" s="29"/>
      <c r="O27" s="56">
        <f t="shared" si="0"/>
        <v>1741952</v>
      </c>
      <c r="P27" s="18"/>
      <c r="Q27" s="31">
        <f t="shared" si="1"/>
        <v>11270</v>
      </c>
      <c r="R27" s="32"/>
      <c r="S27" s="32">
        <v>24300</v>
      </c>
    </row>
    <row r="28" spans="1:19" ht="15" customHeight="1" x14ac:dyDescent="0.25">
      <c r="A28" s="22" t="s">
        <v>45</v>
      </c>
      <c r="B28" s="23">
        <v>2292150</v>
      </c>
      <c r="C28" s="24"/>
      <c r="D28" s="25"/>
      <c r="E28" s="26"/>
      <c r="F28" s="25">
        <v>397390</v>
      </c>
      <c r="G28" s="27">
        <v>29500</v>
      </c>
      <c r="H28" s="25">
        <v>28470</v>
      </c>
      <c r="I28" s="25"/>
      <c r="J28" s="25"/>
      <c r="K28" s="28">
        <v>757</v>
      </c>
      <c r="L28" s="25"/>
      <c r="M28" s="28">
        <f>129.73*1000</f>
        <v>129729.99999999999</v>
      </c>
      <c r="N28" s="29"/>
      <c r="O28" s="56">
        <f t="shared" si="0"/>
        <v>2877997</v>
      </c>
      <c r="P28" s="18"/>
      <c r="Q28" s="31">
        <f t="shared" si="1"/>
        <v>112270.00000000001</v>
      </c>
      <c r="R28" s="32"/>
      <c r="S28" s="32">
        <v>242000</v>
      </c>
    </row>
    <row r="29" spans="1:19" ht="15" customHeight="1" x14ac:dyDescent="0.25">
      <c r="A29" s="22" t="s">
        <v>46</v>
      </c>
      <c r="B29" s="23">
        <v>793750</v>
      </c>
      <c r="C29" s="24"/>
      <c r="D29" s="25"/>
      <c r="E29" s="26"/>
      <c r="F29" s="25"/>
      <c r="G29" s="27">
        <v>7770</v>
      </c>
      <c r="H29" s="25">
        <v>670</v>
      </c>
      <c r="I29" s="25"/>
      <c r="J29" s="25"/>
      <c r="K29" s="28">
        <v>499</v>
      </c>
      <c r="L29" s="25"/>
      <c r="M29" s="28">
        <f>51.04*1000</f>
        <v>51040</v>
      </c>
      <c r="N29" s="29"/>
      <c r="O29" s="56">
        <f t="shared" si="0"/>
        <v>853729</v>
      </c>
      <c r="P29" s="18"/>
      <c r="Q29" s="31">
        <f t="shared" si="1"/>
        <v>44180</v>
      </c>
      <c r="R29" s="32"/>
      <c r="S29" s="32">
        <v>95220</v>
      </c>
    </row>
    <row r="30" spans="1:19" ht="15" customHeight="1" x14ac:dyDescent="0.25">
      <c r="A30" s="22" t="s">
        <v>47</v>
      </c>
      <c r="B30" s="23">
        <v>1370950</v>
      </c>
      <c r="C30" s="24"/>
      <c r="D30" s="25"/>
      <c r="E30" s="26">
        <v>1583350</v>
      </c>
      <c r="F30" s="25">
        <v>293520</v>
      </c>
      <c r="G30" s="27">
        <v>80260</v>
      </c>
      <c r="H30" s="25">
        <v>28520</v>
      </c>
      <c r="I30" s="25"/>
      <c r="J30" s="25">
        <v>81770</v>
      </c>
      <c r="K30" s="28">
        <v>468</v>
      </c>
      <c r="L30" s="25"/>
      <c r="M30" s="28">
        <f>179.35*1000</f>
        <v>179350</v>
      </c>
      <c r="N30" s="29"/>
      <c r="O30" s="56">
        <f t="shared" si="0"/>
        <v>3618188</v>
      </c>
      <c r="P30" s="18"/>
      <c r="Q30" s="31">
        <f t="shared" si="1"/>
        <v>217880</v>
      </c>
      <c r="R30" s="32"/>
      <c r="S30" s="32">
        <f>(206.17+191.06)*1000</f>
        <v>397230</v>
      </c>
    </row>
    <row r="31" spans="1:19" ht="25.5" customHeight="1" x14ac:dyDescent="0.25">
      <c r="A31" s="22" t="s">
        <v>48</v>
      </c>
      <c r="B31" s="23">
        <v>1123450</v>
      </c>
      <c r="C31" s="24"/>
      <c r="D31" s="25"/>
      <c r="E31" s="26">
        <v>1483280</v>
      </c>
      <c r="F31" s="25">
        <v>238670</v>
      </c>
      <c r="G31" s="27">
        <v>37480</v>
      </c>
      <c r="H31" s="25">
        <v>30970</v>
      </c>
      <c r="I31" s="25">
        <v>2770</v>
      </c>
      <c r="J31" s="25"/>
      <c r="K31" s="28">
        <v>591</v>
      </c>
      <c r="L31" s="25"/>
      <c r="M31" s="28">
        <f>175.24*1000</f>
        <v>175240</v>
      </c>
      <c r="N31" s="29"/>
      <c r="O31" s="56">
        <f t="shared" si="0"/>
        <v>3092451</v>
      </c>
      <c r="P31" s="18"/>
      <c r="Q31" s="31">
        <f t="shared" si="1"/>
        <v>143430</v>
      </c>
      <c r="R31" s="32"/>
      <c r="S31" s="32">
        <f>(58.6+260.07)*1000</f>
        <v>318670</v>
      </c>
    </row>
    <row r="32" spans="1:19" ht="15" customHeight="1" x14ac:dyDescent="0.25">
      <c r="A32" s="22" t="s">
        <v>49</v>
      </c>
      <c r="B32" s="23">
        <v>4519720</v>
      </c>
      <c r="C32" s="24"/>
      <c r="D32" s="25"/>
      <c r="E32" s="26"/>
      <c r="F32" s="25"/>
      <c r="G32" s="27">
        <v>20360</v>
      </c>
      <c r="H32" s="25">
        <v>25280</v>
      </c>
      <c r="I32" s="25"/>
      <c r="J32" s="25"/>
      <c r="K32" s="28">
        <v>588</v>
      </c>
      <c r="L32" s="25"/>
      <c r="M32" s="28">
        <f>72.67*1000</f>
        <v>72670</v>
      </c>
      <c r="N32" s="29"/>
      <c r="O32" s="56">
        <f t="shared" si="0"/>
        <v>4638618</v>
      </c>
      <c r="P32" s="18"/>
      <c r="Q32" s="31">
        <f t="shared" si="1"/>
        <v>129070</v>
      </c>
      <c r="R32" s="32"/>
      <c r="S32" s="32">
        <v>201740</v>
      </c>
    </row>
    <row r="33" spans="1:19" ht="15" customHeight="1" x14ac:dyDescent="0.25">
      <c r="A33" s="22" t="s">
        <v>50</v>
      </c>
      <c r="B33" s="23">
        <v>793620</v>
      </c>
      <c r="C33" s="24"/>
      <c r="D33" s="25"/>
      <c r="E33" s="26">
        <v>1073120</v>
      </c>
      <c r="F33" s="25"/>
      <c r="G33" s="27"/>
      <c r="H33" s="25"/>
      <c r="I33" s="25"/>
      <c r="J33" s="25"/>
      <c r="K33" s="28">
        <v>0</v>
      </c>
      <c r="L33" s="25"/>
      <c r="M33" s="28">
        <f>70.39*1000</f>
        <v>70390</v>
      </c>
      <c r="N33" s="29"/>
      <c r="O33" s="56">
        <f t="shared" si="0"/>
        <v>1937130</v>
      </c>
      <c r="P33" s="18"/>
      <c r="Q33" s="31">
        <f t="shared" si="1"/>
        <v>52369.999999999985</v>
      </c>
      <c r="R33" s="32"/>
      <c r="S33" s="32">
        <f>(112.38+10.38)*1000</f>
        <v>122759.99999999999</v>
      </c>
    </row>
    <row r="34" spans="1:19" ht="15" customHeight="1" x14ac:dyDescent="0.25">
      <c r="A34" s="22" t="s">
        <v>51</v>
      </c>
      <c r="B34" s="23">
        <v>1683840</v>
      </c>
      <c r="C34" s="24"/>
      <c r="D34" s="25"/>
      <c r="E34" s="26"/>
      <c r="F34" s="25"/>
      <c r="G34" s="27">
        <v>44080</v>
      </c>
      <c r="H34" s="25">
        <v>10770</v>
      </c>
      <c r="I34" s="25"/>
      <c r="J34" s="25"/>
      <c r="K34" s="28">
        <v>0</v>
      </c>
      <c r="L34" s="25"/>
      <c r="M34" s="28">
        <f>91.89*1000</f>
        <v>91890</v>
      </c>
      <c r="N34" s="34"/>
      <c r="O34" s="56">
        <f t="shared" si="0"/>
        <v>1830580</v>
      </c>
      <c r="P34" s="18"/>
      <c r="Q34" s="31">
        <f t="shared" si="1"/>
        <v>163190</v>
      </c>
      <c r="R34" s="32"/>
      <c r="S34" s="32">
        <v>255080</v>
      </c>
    </row>
    <row r="35" spans="1:19" ht="15" customHeight="1" x14ac:dyDescent="0.25">
      <c r="A35" s="22" t="s">
        <v>52</v>
      </c>
      <c r="B35" s="23">
        <v>115590</v>
      </c>
      <c r="C35" s="24"/>
      <c r="D35" s="25"/>
      <c r="E35" s="26"/>
      <c r="F35" s="25"/>
      <c r="G35" s="27"/>
      <c r="H35" s="25"/>
      <c r="I35" s="25"/>
      <c r="J35" s="25"/>
      <c r="K35" s="28">
        <v>0</v>
      </c>
      <c r="L35" s="25"/>
      <c r="M35" s="28">
        <f>5.41*1000</f>
        <v>5410</v>
      </c>
      <c r="N35" s="34"/>
      <c r="O35" s="56">
        <f t="shared" si="0"/>
        <v>121000</v>
      </c>
      <c r="P35" s="18"/>
      <c r="Q35" s="31">
        <f t="shared" si="1"/>
        <v>4690</v>
      </c>
      <c r="R35" s="32"/>
      <c r="S35" s="32">
        <v>10100</v>
      </c>
    </row>
    <row r="36" spans="1:19" ht="15" customHeight="1" x14ac:dyDescent="0.25">
      <c r="A36" s="22" t="s">
        <v>53</v>
      </c>
      <c r="B36" s="23">
        <v>851740</v>
      </c>
      <c r="C36" s="24"/>
      <c r="D36" s="25"/>
      <c r="E36" s="26"/>
      <c r="F36" s="25"/>
      <c r="G36" s="27"/>
      <c r="H36" s="25"/>
      <c r="I36" s="25"/>
      <c r="J36" s="25"/>
      <c r="K36" s="28">
        <v>0</v>
      </c>
      <c r="L36" s="25"/>
      <c r="M36" s="28">
        <f>19.13*1000</f>
        <v>19130</v>
      </c>
      <c r="N36" s="34"/>
      <c r="O36" s="56">
        <f>SUM(B36:M36)</f>
        <v>870870</v>
      </c>
      <c r="P36" s="18"/>
      <c r="Q36" s="31">
        <f t="shared" si="1"/>
        <v>33970</v>
      </c>
      <c r="R36" s="32"/>
      <c r="S36" s="32">
        <v>53100</v>
      </c>
    </row>
    <row r="37" spans="1:19" ht="25.5" customHeight="1" x14ac:dyDescent="0.25">
      <c r="A37" s="22" t="s">
        <v>54</v>
      </c>
      <c r="B37" s="23">
        <v>905990</v>
      </c>
      <c r="C37" s="24"/>
      <c r="D37" s="25"/>
      <c r="E37" s="26"/>
      <c r="F37" s="25"/>
      <c r="G37" s="27"/>
      <c r="H37" s="25"/>
      <c r="I37" s="25"/>
      <c r="J37" s="25">
        <v>3380</v>
      </c>
      <c r="K37" s="28">
        <v>0</v>
      </c>
      <c r="L37" s="25"/>
      <c r="M37" s="28">
        <f>91.58*1000</f>
        <v>91580</v>
      </c>
      <c r="N37" s="34"/>
      <c r="O37" s="56">
        <f t="shared" ref="O37:O69" si="2">SUM(B37:M37)</f>
        <v>1000950</v>
      </c>
      <c r="P37" s="18"/>
      <c r="Q37" s="31">
        <f t="shared" si="1"/>
        <v>79260</v>
      </c>
      <c r="R37" s="32"/>
      <c r="S37" s="32">
        <v>170840</v>
      </c>
    </row>
    <row r="38" spans="1:19" ht="12.75" customHeight="1" x14ac:dyDescent="0.25">
      <c r="A38" s="22" t="s">
        <v>55</v>
      </c>
      <c r="B38" s="23">
        <v>671970</v>
      </c>
      <c r="C38" s="24"/>
      <c r="D38" s="25"/>
      <c r="E38" s="26"/>
      <c r="F38" s="25"/>
      <c r="G38" s="27">
        <v>5880</v>
      </c>
      <c r="H38" s="25"/>
      <c r="I38" s="25"/>
      <c r="J38" s="25"/>
      <c r="K38" s="28">
        <v>185</v>
      </c>
      <c r="L38" s="25"/>
      <c r="M38" s="28">
        <f>15.61*1000</f>
        <v>15610</v>
      </c>
      <c r="N38" s="34"/>
      <c r="O38" s="56">
        <f t="shared" si="2"/>
        <v>693645</v>
      </c>
      <c r="P38" s="18"/>
      <c r="Q38" s="31">
        <f t="shared" si="1"/>
        <v>9930</v>
      </c>
      <c r="R38" s="32"/>
      <c r="S38" s="32">
        <v>25540</v>
      </c>
    </row>
    <row r="39" spans="1:19" ht="16.5" customHeight="1" x14ac:dyDescent="0.25">
      <c r="A39" s="22" t="s">
        <v>56</v>
      </c>
      <c r="B39" s="23">
        <v>1242890</v>
      </c>
      <c r="C39" s="24"/>
      <c r="D39" s="25">
        <v>139880</v>
      </c>
      <c r="E39" s="26"/>
      <c r="F39" s="25"/>
      <c r="G39" s="27"/>
      <c r="H39" s="25">
        <v>9210</v>
      </c>
      <c r="I39" s="25"/>
      <c r="J39" s="25"/>
      <c r="K39" s="28">
        <v>0</v>
      </c>
      <c r="L39" s="25"/>
      <c r="M39" s="28">
        <f>30.76*1000</f>
        <v>30760</v>
      </c>
      <c r="N39" s="34"/>
      <c r="O39" s="56">
        <f t="shared" si="2"/>
        <v>1422740</v>
      </c>
      <c r="P39" s="18"/>
      <c r="Q39" s="31">
        <f t="shared" si="1"/>
        <v>54620</v>
      </c>
      <c r="R39" s="32"/>
      <c r="S39" s="32">
        <v>85380</v>
      </c>
    </row>
    <row r="40" spans="1:19" ht="30" customHeight="1" x14ac:dyDescent="0.25">
      <c r="A40" s="22" t="s">
        <v>57</v>
      </c>
      <c r="B40" s="23">
        <v>1055470</v>
      </c>
      <c r="C40" s="24">
        <v>21840</v>
      </c>
      <c r="D40" s="25"/>
      <c r="E40" s="26"/>
      <c r="F40" s="25"/>
      <c r="G40" s="27"/>
      <c r="H40" s="25">
        <v>5920</v>
      </c>
      <c r="I40" s="25"/>
      <c r="J40" s="25"/>
      <c r="K40" s="28">
        <v>0</v>
      </c>
      <c r="L40" s="25"/>
      <c r="M40" s="28">
        <f>44.18*1000</f>
        <v>44180</v>
      </c>
      <c r="N40" s="34"/>
      <c r="O40" s="56">
        <f t="shared" si="2"/>
        <v>1127410</v>
      </c>
      <c r="P40" s="18"/>
      <c r="Q40" s="31">
        <f t="shared" si="1"/>
        <v>78460</v>
      </c>
      <c r="R40" s="32"/>
      <c r="S40" s="32">
        <v>122640</v>
      </c>
    </row>
    <row r="41" spans="1:19" ht="15" customHeight="1" x14ac:dyDescent="0.25">
      <c r="A41" s="22" t="s">
        <v>58</v>
      </c>
      <c r="B41" s="23">
        <v>1154340</v>
      </c>
      <c r="C41" s="24"/>
      <c r="D41" s="25"/>
      <c r="E41" s="26"/>
      <c r="F41" s="25"/>
      <c r="G41" s="27"/>
      <c r="H41" s="25">
        <v>8550</v>
      </c>
      <c r="I41" s="25"/>
      <c r="J41" s="25"/>
      <c r="K41" s="28">
        <v>0</v>
      </c>
      <c r="L41" s="25"/>
      <c r="M41" s="28">
        <f>59.53*1000</f>
        <v>59530</v>
      </c>
      <c r="N41" s="25"/>
      <c r="O41" s="56">
        <f t="shared" si="2"/>
        <v>1222420</v>
      </c>
      <c r="P41" s="18"/>
      <c r="Q41" s="31">
        <f t="shared" si="1"/>
        <v>58910</v>
      </c>
      <c r="R41" s="32"/>
      <c r="S41" s="32">
        <f>(89.72+28.72)*1000</f>
        <v>118440</v>
      </c>
    </row>
    <row r="42" spans="1:19" ht="15" customHeight="1" x14ac:dyDescent="0.25">
      <c r="A42" s="22" t="s">
        <v>59</v>
      </c>
      <c r="B42" s="23">
        <v>1056660</v>
      </c>
      <c r="C42" s="24"/>
      <c r="D42" s="25"/>
      <c r="E42" s="26"/>
      <c r="F42" s="25">
        <v>139000</v>
      </c>
      <c r="G42" s="25">
        <v>31660</v>
      </c>
      <c r="H42" s="25">
        <v>3800</v>
      </c>
      <c r="I42" s="25">
        <v>1430</v>
      </c>
      <c r="J42" s="25">
        <v>79270</v>
      </c>
      <c r="K42" s="28">
        <v>426</v>
      </c>
      <c r="L42" s="25"/>
      <c r="M42" s="28">
        <f>74.18*1000</f>
        <v>74180</v>
      </c>
      <c r="N42" s="34"/>
      <c r="O42" s="56">
        <f t="shared" si="2"/>
        <v>1386426</v>
      </c>
      <c r="P42" s="18"/>
      <c r="Q42" s="31">
        <f t="shared" si="1"/>
        <v>49680</v>
      </c>
      <c r="R42" s="32"/>
      <c r="S42" s="32">
        <f>(117.74+6.12)*1000</f>
        <v>123860</v>
      </c>
    </row>
    <row r="43" spans="1:19" ht="15" customHeight="1" x14ac:dyDescent="0.25">
      <c r="A43" s="22" t="s">
        <v>60</v>
      </c>
      <c r="B43" s="23">
        <v>780780</v>
      </c>
      <c r="C43" s="24"/>
      <c r="D43" s="25">
        <v>89610</v>
      </c>
      <c r="E43" s="26">
        <v>499600</v>
      </c>
      <c r="F43" s="25">
        <v>252310</v>
      </c>
      <c r="G43" s="27">
        <v>21510</v>
      </c>
      <c r="H43" s="25">
        <v>95390</v>
      </c>
      <c r="I43" s="25"/>
      <c r="J43" s="25"/>
      <c r="K43" s="28">
        <v>423</v>
      </c>
      <c r="L43" s="25"/>
      <c r="M43" s="28">
        <f>113.26*1000</f>
        <v>113260</v>
      </c>
      <c r="N43" s="34"/>
      <c r="O43" s="56">
        <f t="shared" si="2"/>
        <v>1852883</v>
      </c>
      <c r="P43" s="18"/>
      <c r="Q43" s="31">
        <f t="shared" si="1"/>
        <v>95560.000000000029</v>
      </c>
      <c r="R43" s="32"/>
      <c r="S43" s="32">
        <f>(174.52+29.34+4.96)*1000</f>
        <v>208820.00000000003</v>
      </c>
    </row>
    <row r="44" spans="1:19" ht="15" customHeight="1" x14ac:dyDescent="0.25">
      <c r="A44" s="22" t="s">
        <v>61</v>
      </c>
      <c r="B44" s="23">
        <v>1849620</v>
      </c>
      <c r="C44" s="24"/>
      <c r="D44" s="25"/>
      <c r="E44" s="26"/>
      <c r="F44" s="25">
        <v>296200</v>
      </c>
      <c r="G44" s="27">
        <v>40150</v>
      </c>
      <c r="H44" s="25">
        <v>22810</v>
      </c>
      <c r="I44" s="25">
        <v>2790</v>
      </c>
      <c r="J44" s="25"/>
      <c r="K44" s="28">
        <v>0</v>
      </c>
      <c r="L44" s="25"/>
      <c r="M44" s="28">
        <f>148.52*1000</f>
        <v>148520</v>
      </c>
      <c r="N44" s="34"/>
      <c r="O44" s="56">
        <f t="shared" si="2"/>
        <v>2360090</v>
      </c>
      <c r="P44" s="18"/>
      <c r="Q44" s="31">
        <f t="shared" si="1"/>
        <v>128540</v>
      </c>
      <c r="R44" s="32"/>
      <c r="S44" s="32">
        <v>277060</v>
      </c>
    </row>
    <row r="45" spans="1:19" ht="15" customHeight="1" x14ac:dyDescent="0.25">
      <c r="A45" s="22" t="s">
        <v>62</v>
      </c>
      <c r="B45" s="23">
        <v>2300040</v>
      </c>
      <c r="C45" s="24"/>
      <c r="D45" s="25"/>
      <c r="E45" s="26">
        <v>201570</v>
      </c>
      <c r="F45" s="25"/>
      <c r="G45" s="27">
        <v>8580</v>
      </c>
      <c r="H45" s="25">
        <v>13780</v>
      </c>
      <c r="I45" s="25"/>
      <c r="J45" s="25"/>
      <c r="K45" s="28">
        <v>723</v>
      </c>
      <c r="L45" s="25"/>
      <c r="M45" s="28">
        <f>32.72*1000</f>
        <v>32720</v>
      </c>
      <c r="N45" s="34"/>
      <c r="O45" s="56">
        <f t="shared" si="2"/>
        <v>2557413</v>
      </c>
      <c r="P45" s="18"/>
      <c r="Q45" s="31">
        <f t="shared" si="1"/>
        <v>58100</v>
      </c>
      <c r="R45" s="32"/>
      <c r="S45" s="32">
        <v>90820</v>
      </c>
    </row>
    <row r="46" spans="1:19" ht="15.75" customHeight="1" x14ac:dyDescent="0.25">
      <c r="A46" s="22" t="s">
        <v>63</v>
      </c>
      <c r="B46" s="23">
        <v>1483410</v>
      </c>
      <c r="C46" s="24"/>
      <c r="D46" s="25">
        <v>62740</v>
      </c>
      <c r="E46" s="26">
        <v>1912510</v>
      </c>
      <c r="F46" s="25"/>
      <c r="G46" s="27"/>
      <c r="H46" s="25">
        <v>65900</v>
      </c>
      <c r="I46" s="25"/>
      <c r="J46" s="25"/>
      <c r="K46" s="28">
        <v>1163</v>
      </c>
      <c r="L46" s="25"/>
      <c r="M46" s="28">
        <f>156.76*1000</f>
        <v>156760</v>
      </c>
      <c r="N46" s="34"/>
      <c r="O46" s="56">
        <f t="shared" si="2"/>
        <v>3682483</v>
      </c>
      <c r="P46" s="18"/>
      <c r="Q46" s="31">
        <f t="shared" si="1"/>
        <v>126660</v>
      </c>
      <c r="R46" s="32"/>
      <c r="S46" s="32">
        <f>(5.78+33.56+244.08)*1000</f>
        <v>283420</v>
      </c>
    </row>
    <row r="47" spans="1:19" ht="15" customHeight="1" x14ac:dyDescent="0.25">
      <c r="A47" s="22" t="s">
        <v>64</v>
      </c>
      <c r="B47" s="23">
        <v>1439420</v>
      </c>
      <c r="C47" s="24"/>
      <c r="D47" s="25"/>
      <c r="E47" s="26">
        <v>662270</v>
      </c>
      <c r="F47" s="25"/>
      <c r="G47" s="27">
        <v>88390</v>
      </c>
      <c r="H47" s="25">
        <v>152070</v>
      </c>
      <c r="I47" s="25"/>
      <c r="J47" s="25"/>
      <c r="K47" s="28">
        <v>468</v>
      </c>
      <c r="L47" s="25"/>
      <c r="M47" s="28">
        <f>182.52*1000</f>
        <v>182520</v>
      </c>
      <c r="N47" s="34"/>
      <c r="O47" s="56">
        <f t="shared" si="2"/>
        <v>2525138</v>
      </c>
      <c r="P47" s="18"/>
      <c r="Q47" s="31">
        <f t="shared" si="1"/>
        <v>152290</v>
      </c>
      <c r="R47" s="32"/>
      <c r="S47" s="32">
        <f>(4.26+249.91+80.64)*1000</f>
        <v>334810</v>
      </c>
    </row>
    <row r="48" spans="1:19" ht="15" customHeight="1" x14ac:dyDescent="0.25">
      <c r="A48" s="22" t="s">
        <v>65</v>
      </c>
      <c r="B48" s="23">
        <v>1083220</v>
      </c>
      <c r="C48" s="24"/>
      <c r="D48" s="25"/>
      <c r="E48" s="26"/>
      <c r="F48" s="25"/>
      <c r="G48" s="27"/>
      <c r="H48" s="25"/>
      <c r="I48" s="25"/>
      <c r="J48" s="25"/>
      <c r="K48" s="28">
        <v>0</v>
      </c>
      <c r="L48" s="25"/>
      <c r="M48" s="28">
        <f>72.52*1000</f>
        <v>72520</v>
      </c>
      <c r="N48" s="34"/>
      <c r="O48" s="56">
        <f t="shared" si="2"/>
        <v>1155740</v>
      </c>
      <c r="P48" s="18"/>
      <c r="Q48" s="31">
        <f t="shared" si="1"/>
        <v>128800</v>
      </c>
      <c r="R48" s="32"/>
      <c r="S48" s="32">
        <v>201320</v>
      </c>
    </row>
    <row r="49" spans="1:23" ht="14.25" customHeight="1" x14ac:dyDescent="0.25">
      <c r="A49" s="36" t="s">
        <v>66</v>
      </c>
      <c r="B49" s="23">
        <v>2027790</v>
      </c>
      <c r="C49" s="24"/>
      <c r="D49" s="25"/>
      <c r="E49" s="26"/>
      <c r="F49" s="25">
        <v>42060</v>
      </c>
      <c r="G49" s="27">
        <v>182300</v>
      </c>
      <c r="H49" s="25"/>
      <c r="I49" s="25"/>
      <c r="J49" s="25"/>
      <c r="K49" s="28">
        <v>581</v>
      </c>
      <c r="L49" s="25"/>
      <c r="M49" s="28">
        <f>114.37*1000</f>
        <v>114370</v>
      </c>
      <c r="N49" s="34"/>
      <c r="O49" s="56">
        <f>SUM(B49:M49)</f>
        <v>2367101</v>
      </c>
      <c r="P49" s="18"/>
      <c r="Q49" s="31">
        <f t="shared" si="1"/>
        <v>203110</v>
      </c>
      <c r="R49" s="32"/>
      <c r="S49" s="32">
        <v>317480</v>
      </c>
    </row>
    <row r="50" spans="1:23" ht="17.25" customHeight="1" x14ac:dyDescent="0.25">
      <c r="A50" s="22" t="s">
        <v>67</v>
      </c>
      <c r="B50" s="23">
        <v>1339230</v>
      </c>
      <c r="C50" s="24"/>
      <c r="D50" s="25"/>
      <c r="E50" s="26"/>
      <c r="F50" s="25"/>
      <c r="G50" s="27">
        <v>25830</v>
      </c>
      <c r="H50" s="25">
        <v>14330</v>
      </c>
      <c r="I50" s="25"/>
      <c r="J50" s="25"/>
      <c r="K50" s="28">
        <v>581</v>
      </c>
      <c r="L50" s="25"/>
      <c r="M50" s="28">
        <f>87.09*1000</f>
        <v>87090</v>
      </c>
      <c r="N50" s="34"/>
      <c r="O50" s="56">
        <f t="shared" si="2"/>
        <v>1467061</v>
      </c>
      <c r="P50" s="18"/>
      <c r="Q50" s="31">
        <f t="shared" si="1"/>
        <v>154670</v>
      </c>
      <c r="R50" s="32"/>
      <c r="S50" s="32">
        <v>241760</v>
      </c>
    </row>
    <row r="51" spans="1:23" ht="15" customHeight="1" x14ac:dyDescent="0.25">
      <c r="A51" s="22" t="s">
        <v>68</v>
      </c>
      <c r="B51" s="23">
        <v>4469180</v>
      </c>
      <c r="C51" s="24"/>
      <c r="D51" s="25"/>
      <c r="E51" s="26">
        <v>1345620</v>
      </c>
      <c r="F51" s="25">
        <v>311870</v>
      </c>
      <c r="G51" s="27"/>
      <c r="H51" s="25">
        <v>40510</v>
      </c>
      <c r="I51" s="25"/>
      <c r="J51" s="25">
        <v>180670</v>
      </c>
      <c r="K51" s="28">
        <v>125</v>
      </c>
      <c r="L51" s="25"/>
      <c r="M51" s="28">
        <f>285.93*1000</f>
        <v>285930</v>
      </c>
      <c r="N51" s="34"/>
      <c r="O51" s="56">
        <f t="shared" si="2"/>
        <v>6633905</v>
      </c>
      <c r="P51" s="18"/>
      <c r="Q51" s="31">
        <f t="shared" si="1"/>
        <v>220200</v>
      </c>
      <c r="R51" s="32"/>
      <c r="S51" s="32">
        <f>(449.69+4.88+51.56)*1000</f>
        <v>506130</v>
      </c>
    </row>
    <row r="52" spans="1:23" ht="15" customHeight="1" x14ac:dyDescent="0.25">
      <c r="A52" s="22" t="s">
        <v>69</v>
      </c>
      <c r="B52" s="23">
        <v>909950</v>
      </c>
      <c r="C52" s="24"/>
      <c r="D52" s="25"/>
      <c r="E52" s="26"/>
      <c r="F52" s="25">
        <v>72720</v>
      </c>
      <c r="G52" s="27"/>
      <c r="H52" s="25">
        <v>15000</v>
      </c>
      <c r="I52" s="25"/>
      <c r="J52" s="25"/>
      <c r="K52" s="28">
        <v>336</v>
      </c>
      <c r="L52" s="25"/>
      <c r="M52" s="28">
        <f>69.28*1000</f>
        <v>69280</v>
      </c>
      <c r="N52" s="34"/>
      <c r="O52" s="56">
        <f t="shared" si="2"/>
        <v>1067286</v>
      </c>
      <c r="P52" s="18"/>
      <c r="Q52" s="31">
        <f t="shared" si="1"/>
        <v>123040</v>
      </c>
      <c r="R52" s="32"/>
      <c r="S52" s="32">
        <v>192320</v>
      </c>
    </row>
    <row r="53" spans="1:23" ht="15" customHeight="1" x14ac:dyDescent="0.25">
      <c r="A53" s="22" t="s">
        <v>70</v>
      </c>
      <c r="B53" s="23">
        <v>109200</v>
      </c>
      <c r="C53" s="24"/>
      <c r="D53" s="25">
        <v>138310</v>
      </c>
      <c r="E53" s="26">
        <v>537720</v>
      </c>
      <c r="F53" s="25">
        <v>3270</v>
      </c>
      <c r="G53" s="27"/>
      <c r="H53" s="25">
        <v>280</v>
      </c>
      <c r="I53" s="25"/>
      <c r="J53" s="25"/>
      <c r="K53" s="28">
        <v>0</v>
      </c>
      <c r="L53" s="25"/>
      <c r="M53" s="28">
        <f>10.12*1000</f>
        <v>10120</v>
      </c>
      <c r="N53" s="34"/>
      <c r="O53" s="56">
        <f t="shared" si="2"/>
        <v>798900</v>
      </c>
      <c r="P53" s="18"/>
      <c r="Q53" s="31">
        <f t="shared" si="1"/>
        <v>6440</v>
      </c>
      <c r="R53" s="32"/>
      <c r="S53" s="32">
        <v>16560</v>
      </c>
    </row>
    <row r="54" spans="1:23" ht="15" customHeight="1" x14ac:dyDescent="0.25">
      <c r="A54" s="22" t="s">
        <v>71</v>
      </c>
      <c r="B54" s="23">
        <v>4516910</v>
      </c>
      <c r="C54" s="24"/>
      <c r="D54" s="25"/>
      <c r="E54" s="26"/>
      <c r="F54" s="25">
        <v>340470</v>
      </c>
      <c r="G54" s="27"/>
      <c r="H54" s="25">
        <v>168420</v>
      </c>
      <c r="I54" s="25"/>
      <c r="J54" s="25"/>
      <c r="K54" s="28">
        <v>72</v>
      </c>
      <c r="L54" s="25"/>
      <c r="M54" s="28">
        <f>276.02*1000</f>
        <v>276020</v>
      </c>
      <c r="N54" s="34"/>
      <c r="O54" s="56">
        <f t="shared" si="2"/>
        <v>5301892</v>
      </c>
      <c r="P54" s="18"/>
      <c r="Q54" s="31">
        <f t="shared" si="1"/>
        <v>238880</v>
      </c>
      <c r="R54" s="32"/>
      <c r="S54" s="32">
        <v>514900</v>
      </c>
    </row>
    <row r="55" spans="1:23" ht="15" customHeight="1" x14ac:dyDescent="0.25">
      <c r="A55" s="22" t="s">
        <v>72</v>
      </c>
      <c r="B55" s="23">
        <v>592000</v>
      </c>
      <c r="C55" s="24"/>
      <c r="D55" s="25"/>
      <c r="E55" s="26"/>
      <c r="F55" s="25">
        <v>896080</v>
      </c>
      <c r="G55" s="27">
        <v>4230</v>
      </c>
      <c r="H55" s="25"/>
      <c r="I55" s="25"/>
      <c r="J55" s="25">
        <v>228270</v>
      </c>
      <c r="K55" s="28">
        <v>0</v>
      </c>
      <c r="L55" s="25"/>
      <c r="M55" s="28"/>
      <c r="N55" s="34"/>
      <c r="O55" s="56">
        <f t="shared" si="2"/>
        <v>1720580</v>
      </c>
      <c r="P55" s="18"/>
      <c r="Q55" s="31">
        <f t="shared" si="1"/>
        <v>0</v>
      </c>
      <c r="R55" s="32"/>
      <c r="S55" s="32">
        <v>0</v>
      </c>
    </row>
    <row r="56" spans="1:23" ht="15" customHeight="1" x14ac:dyDescent="0.25">
      <c r="A56" s="22" t="s">
        <v>73</v>
      </c>
      <c r="B56" s="23">
        <v>137800</v>
      </c>
      <c r="C56" s="24"/>
      <c r="D56" s="25"/>
      <c r="E56" s="26"/>
      <c r="F56" s="25"/>
      <c r="G56" s="27"/>
      <c r="H56" s="25"/>
      <c r="I56" s="25"/>
      <c r="J56" s="25"/>
      <c r="K56" s="28">
        <v>0</v>
      </c>
      <c r="L56" s="25"/>
      <c r="M56" s="28">
        <f>8.3*1000</f>
        <v>8300</v>
      </c>
      <c r="N56" s="34"/>
      <c r="O56" s="56">
        <f t="shared" si="2"/>
        <v>146100</v>
      </c>
      <c r="P56" s="18"/>
      <c r="Q56" s="31">
        <f t="shared" si="1"/>
        <v>5280</v>
      </c>
      <c r="R56" s="32"/>
      <c r="S56" s="32">
        <v>13580</v>
      </c>
    </row>
    <row r="57" spans="1:23" ht="25.5" customHeight="1" x14ac:dyDescent="0.25">
      <c r="A57" s="22" t="s">
        <v>74</v>
      </c>
      <c r="B57" s="23">
        <v>857180</v>
      </c>
      <c r="C57" s="24"/>
      <c r="D57" s="25"/>
      <c r="E57" s="26"/>
      <c r="F57" s="25"/>
      <c r="G57" s="27">
        <v>4620</v>
      </c>
      <c r="H57" s="25">
        <v>5460</v>
      </c>
      <c r="I57" s="25"/>
      <c r="J57" s="25">
        <v>86180</v>
      </c>
      <c r="K57" s="28">
        <v>465</v>
      </c>
      <c r="L57" s="25"/>
      <c r="M57" s="28">
        <f>8.62*1000</f>
        <v>8620</v>
      </c>
      <c r="N57" s="34"/>
      <c r="O57" s="56">
        <f t="shared" si="2"/>
        <v>962525</v>
      </c>
      <c r="P57" s="18"/>
      <c r="Q57" s="31">
        <f t="shared" si="1"/>
        <v>15300</v>
      </c>
      <c r="R57" s="32"/>
      <c r="S57" s="32">
        <v>23920</v>
      </c>
    </row>
    <row r="58" spans="1:23" ht="19.5" customHeight="1" x14ac:dyDescent="0.25">
      <c r="A58" s="22" t="s">
        <v>75</v>
      </c>
      <c r="B58" s="23">
        <v>284090</v>
      </c>
      <c r="C58" s="24"/>
      <c r="D58" s="25">
        <v>165140</v>
      </c>
      <c r="E58" s="26">
        <v>1146540</v>
      </c>
      <c r="F58" s="25">
        <v>21330</v>
      </c>
      <c r="G58" s="27">
        <v>17920</v>
      </c>
      <c r="H58" s="25">
        <v>9250</v>
      </c>
      <c r="I58" s="25"/>
      <c r="J58" s="25"/>
      <c r="K58" s="28">
        <v>0</v>
      </c>
      <c r="L58" s="25"/>
      <c r="M58" s="28">
        <f>16.16*1000</f>
        <v>16160</v>
      </c>
      <c r="N58" s="34"/>
      <c r="O58" s="56">
        <f t="shared" si="2"/>
        <v>1660430</v>
      </c>
      <c r="P58" s="18"/>
      <c r="Q58" s="31">
        <f t="shared" si="1"/>
        <v>19400</v>
      </c>
      <c r="R58" s="32"/>
      <c r="S58" s="32">
        <f>(12.44+23.12)*1000</f>
        <v>35560</v>
      </c>
    </row>
    <row r="59" spans="1:23" ht="17.25" customHeight="1" x14ac:dyDescent="0.25">
      <c r="A59" s="22" t="s">
        <v>76</v>
      </c>
      <c r="B59" s="23">
        <v>1141440</v>
      </c>
      <c r="C59" s="24"/>
      <c r="D59" s="25"/>
      <c r="E59" s="26"/>
      <c r="F59" s="25"/>
      <c r="G59" s="27"/>
      <c r="H59" s="25"/>
      <c r="I59" s="25"/>
      <c r="J59" s="25"/>
      <c r="K59" s="28">
        <v>0</v>
      </c>
      <c r="L59" s="25"/>
      <c r="M59" s="28">
        <f>51.64*1000</f>
        <v>51640</v>
      </c>
      <c r="N59" s="34"/>
      <c r="O59" s="56">
        <f t="shared" si="2"/>
        <v>1193080</v>
      </c>
      <c r="P59" s="18"/>
      <c r="Q59" s="31">
        <f t="shared" si="1"/>
        <v>91700</v>
      </c>
      <c r="R59" s="32"/>
      <c r="S59" s="32">
        <v>143340</v>
      </c>
      <c r="W59" s="35"/>
    </row>
    <row r="60" spans="1:23" ht="28.5" customHeight="1" x14ac:dyDescent="0.25">
      <c r="A60" s="22" t="s">
        <v>77</v>
      </c>
      <c r="B60" s="23">
        <v>1710780</v>
      </c>
      <c r="C60" s="24"/>
      <c r="D60" s="25">
        <v>111520</v>
      </c>
      <c r="E60" s="26"/>
      <c r="F60" s="25"/>
      <c r="G60" s="27"/>
      <c r="H60" s="25"/>
      <c r="I60" s="25"/>
      <c r="J60" s="25">
        <v>7970</v>
      </c>
      <c r="K60" s="28">
        <v>0</v>
      </c>
      <c r="L60" s="25"/>
      <c r="M60" s="28">
        <f>47.02*1000</f>
        <v>47020</v>
      </c>
      <c r="N60" s="34"/>
      <c r="O60" s="56">
        <f t="shared" si="2"/>
        <v>1877290</v>
      </c>
      <c r="P60" s="18"/>
      <c r="Q60" s="31">
        <f t="shared" si="1"/>
        <v>83500.000000000015</v>
      </c>
      <c r="R60" s="32"/>
      <c r="S60" s="32">
        <v>130520.00000000001</v>
      </c>
      <c r="W60" s="35"/>
    </row>
    <row r="61" spans="1:23" ht="12.75" customHeight="1" x14ac:dyDescent="0.25">
      <c r="A61" s="22" t="s">
        <v>78</v>
      </c>
      <c r="B61" s="23">
        <v>74490</v>
      </c>
      <c r="C61" s="34"/>
      <c r="D61" s="25"/>
      <c r="E61" s="26"/>
      <c r="F61" s="25"/>
      <c r="G61" s="27"/>
      <c r="H61" s="25"/>
      <c r="I61" s="25"/>
      <c r="J61" s="25"/>
      <c r="K61" s="28">
        <v>0</v>
      </c>
      <c r="L61" s="25"/>
      <c r="M61" s="28"/>
      <c r="N61" s="34"/>
      <c r="O61" s="56">
        <f t="shared" si="2"/>
        <v>74490</v>
      </c>
      <c r="P61" s="18"/>
      <c r="Q61" s="31">
        <f t="shared" si="1"/>
        <v>0</v>
      </c>
      <c r="R61" s="32"/>
      <c r="S61" s="32">
        <v>0</v>
      </c>
      <c r="W61" s="35"/>
    </row>
    <row r="62" spans="1:23" ht="12.75" customHeight="1" x14ac:dyDescent="0.25">
      <c r="A62" s="22" t="s">
        <v>79</v>
      </c>
      <c r="B62" s="23">
        <v>169350</v>
      </c>
      <c r="C62" s="24"/>
      <c r="D62" s="25"/>
      <c r="E62" s="26"/>
      <c r="F62" s="25"/>
      <c r="G62" s="27"/>
      <c r="H62" s="25"/>
      <c r="I62" s="25"/>
      <c r="J62" s="25"/>
      <c r="K62" s="28">
        <v>0</v>
      </c>
      <c r="L62" s="25"/>
      <c r="M62" s="28">
        <f>1.88*1000</f>
        <v>1880</v>
      </c>
      <c r="N62" s="34"/>
      <c r="O62" s="56">
        <f t="shared" si="2"/>
        <v>171230</v>
      </c>
      <c r="P62" s="18"/>
      <c r="Q62" s="31">
        <f t="shared" si="1"/>
        <v>1200</v>
      </c>
      <c r="R62" s="32"/>
      <c r="S62" s="32">
        <v>3080</v>
      </c>
      <c r="W62" s="35"/>
    </row>
    <row r="63" spans="1:23" ht="12.75" customHeight="1" x14ac:dyDescent="0.25">
      <c r="A63" s="22" t="s">
        <v>80</v>
      </c>
      <c r="B63" s="23"/>
      <c r="C63" s="34"/>
      <c r="D63" s="25"/>
      <c r="E63" s="26"/>
      <c r="F63" s="25"/>
      <c r="G63" s="27"/>
      <c r="H63" s="25"/>
      <c r="I63" s="25"/>
      <c r="J63" s="25"/>
      <c r="K63" s="28">
        <v>0</v>
      </c>
      <c r="L63" s="25"/>
      <c r="M63" s="28"/>
      <c r="N63" s="34"/>
      <c r="O63" s="56">
        <f t="shared" si="2"/>
        <v>0</v>
      </c>
      <c r="P63" s="18"/>
      <c r="Q63" s="31">
        <f t="shared" si="1"/>
        <v>0</v>
      </c>
      <c r="R63" s="32"/>
      <c r="S63" s="32">
        <v>0</v>
      </c>
    </row>
    <row r="64" spans="1:23" ht="30.75" customHeight="1" x14ac:dyDescent="0.25">
      <c r="A64" s="22" t="s">
        <v>81</v>
      </c>
      <c r="B64" s="23">
        <v>1240620</v>
      </c>
      <c r="C64" s="24"/>
      <c r="D64" s="25"/>
      <c r="E64" s="26"/>
      <c r="F64" s="25"/>
      <c r="G64" s="27">
        <v>8360</v>
      </c>
      <c r="H64" s="25"/>
      <c r="I64" s="25"/>
      <c r="J64" s="25"/>
      <c r="K64" s="28">
        <v>805</v>
      </c>
      <c r="L64" s="25"/>
      <c r="M64" s="28">
        <f>69.66*1000</f>
        <v>69660</v>
      </c>
      <c r="N64" s="34"/>
      <c r="O64" s="56">
        <f t="shared" si="2"/>
        <v>1319445</v>
      </c>
      <c r="P64" s="18"/>
      <c r="Q64" s="31">
        <f t="shared" si="1"/>
        <v>60280</v>
      </c>
      <c r="R64" s="32"/>
      <c r="S64" s="32">
        <v>129940</v>
      </c>
    </row>
    <row r="65" spans="1:25" ht="12.75" customHeight="1" x14ac:dyDescent="0.25">
      <c r="A65" s="22" t="s">
        <v>82</v>
      </c>
      <c r="B65" s="23">
        <v>910330</v>
      </c>
      <c r="C65" s="24"/>
      <c r="D65" s="25"/>
      <c r="E65" s="26"/>
      <c r="F65" s="25">
        <v>292750</v>
      </c>
      <c r="G65" s="27">
        <v>140450</v>
      </c>
      <c r="H65" s="25"/>
      <c r="I65" s="25"/>
      <c r="J65" s="25"/>
      <c r="K65" s="28">
        <v>674</v>
      </c>
      <c r="L65" s="25"/>
      <c r="M65" s="28">
        <f>70.56*1000</f>
        <v>70560</v>
      </c>
      <c r="N65" s="34"/>
      <c r="O65" s="56">
        <f t="shared" si="2"/>
        <v>1414764</v>
      </c>
      <c r="P65" s="18"/>
      <c r="Q65" s="31">
        <f t="shared" si="1"/>
        <v>125320</v>
      </c>
      <c r="R65" s="32"/>
      <c r="S65" s="32">
        <v>195880</v>
      </c>
    </row>
    <row r="66" spans="1:25" ht="20.25" customHeight="1" x14ac:dyDescent="0.25">
      <c r="A66" s="22" t="s">
        <v>83</v>
      </c>
      <c r="B66" s="23">
        <v>2425490</v>
      </c>
      <c r="C66" s="24"/>
      <c r="D66" s="25"/>
      <c r="E66" s="26"/>
      <c r="F66" s="25">
        <v>223990</v>
      </c>
      <c r="G66" s="27">
        <v>52540</v>
      </c>
      <c r="H66" s="25"/>
      <c r="I66" s="25"/>
      <c r="J66" s="25"/>
      <c r="K66" s="28">
        <v>0</v>
      </c>
      <c r="L66" s="25"/>
      <c r="M66" s="28">
        <f>60.09*1000</f>
        <v>60090</v>
      </c>
      <c r="N66" s="34"/>
      <c r="O66" s="56">
        <f t="shared" si="2"/>
        <v>2762110</v>
      </c>
      <c r="P66" s="18"/>
      <c r="Q66" s="31">
        <f t="shared" si="1"/>
        <v>52000</v>
      </c>
      <c r="R66" s="32"/>
      <c r="S66" s="32">
        <v>112090</v>
      </c>
    </row>
    <row r="67" spans="1:25" ht="15" customHeight="1" x14ac:dyDescent="0.25">
      <c r="A67" s="22" t="s">
        <v>84</v>
      </c>
      <c r="B67" s="23">
        <v>837120</v>
      </c>
      <c r="C67" s="24"/>
      <c r="D67" s="25"/>
      <c r="E67" s="26">
        <v>383160</v>
      </c>
      <c r="F67" s="25">
        <v>256350</v>
      </c>
      <c r="G67" s="27">
        <v>54200</v>
      </c>
      <c r="H67" s="25">
        <v>20620</v>
      </c>
      <c r="I67" s="25"/>
      <c r="J67" s="25"/>
      <c r="K67" s="28">
        <v>1026</v>
      </c>
      <c r="L67" s="25"/>
      <c r="M67" s="28">
        <f>117.2*1000</f>
        <v>117200</v>
      </c>
      <c r="N67" s="34"/>
      <c r="O67" s="56">
        <f t="shared" si="2"/>
        <v>1669676</v>
      </c>
      <c r="P67" s="18"/>
      <c r="Q67" s="31">
        <f t="shared" si="1"/>
        <v>92039.999999999971</v>
      </c>
      <c r="R67" s="32"/>
      <c r="S67" s="32">
        <f>(149.2+16.6+43.44)*1000</f>
        <v>209239.99999999997</v>
      </c>
    </row>
    <row r="68" spans="1:25" ht="15" customHeight="1" x14ac:dyDescent="0.25">
      <c r="A68" s="22" t="s">
        <v>85</v>
      </c>
      <c r="B68" s="23">
        <v>2149450</v>
      </c>
      <c r="C68" s="24"/>
      <c r="D68" s="25"/>
      <c r="E68" s="26"/>
      <c r="F68" s="25">
        <v>264100</v>
      </c>
      <c r="G68" s="27"/>
      <c r="H68" s="25">
        <v>91730</v>
      </c>
      <c r="I68" s="25"/>
      <c r="J68" s="25"/>
      <c r="K68" s="28">
        <v>72</v>
      </c>
      <c r="L68" s="25"/>
      <c r="M68" s="28">
        <f>167.68*1000</f>
        <v>167680</v>
      </c>
      <c r="N68" s="34"/>
      <c r="O68" s="56">
        <f t="shared" si="2"/>
        <v>2673032</v>
      </c>
      <c r="P68" s="18"/>
      <c r="Q68" s="31">
        <f t="shared" si="1"/>
        <v>297800</v>
      </c>
      <c r="R68" s="32"/>
      <c r="S68" s="32">
        <v>465480</v>
      </c>
    </row>
    <row r="69" spans="1:25" ht="15" customHeight="1" x14ac:dyDescent="0.25">
      <c r="A69" s="22" t="s">
        <v>86</v>
      </c>
      <c r="B69" s="23">
        <v>1196400</v>
      </c>
      <c r="C69" s="24"/>
      <c r="D69" s="25">
        <v>72770</v>
      </c>
      <c r="E69" s="26"/>
      <c r="F69" s="25"/>
      <c r="G69" s="27"/>
      <c r="H69" s="25">
        <v>28810</v>
      </c>
      <c r="I69" s="25"/>
      <c r="J69" s="25"/>
      <c r="K69" s="28">
        <v>0</v>
      </c>
      <c r="L69" s="25"/>
      <c r="M69" s="28"/>
      <c r="N69" s="34"/>
      <c r="O69" s="56">
        <f t="shared" si="2"/>
        <v>1297980</v>
      </c>
      <c r="P69" s="18"/>
      <c r="Q69" s="31">
        <f>(S69-M69)</f>
        <v>0</v>
      </c>
      <c r="R69" s="32"/>
      <c r="S69" s="32"/>
    </row>
    <row r="70" spans="1:25" ht="34.5" customHeight="1" x14ac:dyDescent="0.2">
      <c r="A70" s="37" t="s">
        <v>87</v>
      </c>
      <c r="B70" s="38">
        <f>SUM(B4:B69)</f>
        <v>107765910</v>
      </c>
      <c r="C70" s="38">
        <f t="shared" ref="C70:K70" si="3">SUM(C4:C69)</f>
        <v>1542070</v>
      </c>
      <c r="D70" s="38">
        <f>SUM(D4:D69)</f>
        <v>987810</v>
      </c>
      <c r="E70" s="39">
        <f t="shared" si="3"/>
        <v>13848770</v>
      </c>
      <c r="F70" s="40">
        <f t="shared" si="3"/>
        <v>17418430</v>
      </c>
      <c r="G70" s="40">
        <f t="shared" si="3"/>
        <v>1963690</v>
      </c>
      <c r="H70" s="40">
        <f t="shared" si="3"/>
        <v>1431320</v>
      </c>
      <c r="I70" s="40">
        <f t="shared" si="3"/>
        <v>75600</v>
      </c>
      <c r="J70" s="40">
        <f t="shared" si="3"/>
        <v>1114240</v>
      </c>
      <c r="K70" s="40">
        <f t="shared" si="3"/>
        <v>25521</v>
      </c>
      <c r="L70" s="41"/>
      <c r="M70" s="66">
        <f>SUM(M4:M69)</f>
        <v>5549510</v>
      </c>
      <c r="N70" s="43"/>
      <c r="O70" s="42">
        <f>SUM(O4:O69)</f>
        <v>151722871</v>
      </c>
      <c r="P70" s="44"/>
      <c r="Q70" s="45">
        <f>SUM(Q4:Q69)</f>
        <v>8491990</v>
      </c>
      <c r="R70" s="46">
        <f>SUM(R4:R69)</f>
        <v>0</v>
      </c>
      <c r="S70" s="67">
        <f>SUM(S4:S69)</f>
        <v>14041500</v>
      </c>
      <c r="Y70" s="35"/>
    </row>
    <row r="71" spans="1:25" ht="21" customHeight="1" x14ac:dyDescent="0.2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50"/>
      <c r="O71" s="49"/>
      <c r="P71" s="18"/>
      <c r="Q71" s="49"/>
      <c r="Y71" s="35"/>
    </row>
    <row r="72" spans="1:25" ht="27.75" customHeight="1" x14ac:dyDescent="0.2">
      <c r="A72" s="99" t="s">
        <v>88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</row>
    <row r="74" spans="1:25" x14ac:dyDescent="0.2">
      <c r="M74" s="52">
        <f>M70+Q70</f>
        <v>14041500</v>
      </c>
    </row>
  </sheetData>
  <mergeCells count="3">
    <mergeCell ref="A1:M1"/>
    <mergeCell ref="B2:K2"/>
    <mergeCell ref="A72:Q7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AE612-6CEB-4A5D-B5C9-D859473847B6}">
  <sheetPr codeName="Sheet14"/>
  <dimension ref="A1:Z78"/>
  <sheetViews>
    <sheetView tabSelected="1" workbookViewId="0">
      <pane xSplit="1" ySplit="3" topLeftCell="M59" activePane="bottomRight" state="frozen"/>
      <selection activeCell="S70" sqref="S70"/>
      <selection pane="topRight" activeCell="S70" sqref="S70"/>
      <selection pane="bottomLeft" activeCell="S70" sqref="S70"/>
      <selection pane="bottomRight" activeCell="Z71" sqref="Z71"/>
    </sheetView>
  </sheetViews>
  <sheetFormatPr defaultColWidth="6.85546875" defaultRowHeight="12.75" x14ac:dyDescent="0.2"/>
  <cols>
    <col min="1" max="1" width="28.5703125" style="1" customWidth="1"/>
    <col min="2" max="2" width="13.5703125" style="1" customWidth="1"/>
    <col min="3" max="3" width="11.7109375" style="1" customWidth="1"/>
    <col min="4" max="4" width="12" style="1" customWidth="1"/>
    <col min="5" max="5" width="11.42578125" style="1" customWidth="1"/>
    <col min="6" max="6" width="13.140625" style="1" customWidth="1"/>
    <col min="7" max="7" width="11.140625" style="51" customWidth="1"/>
    <col min="8" max="8" width="10.7109375" style="1" customWidth="1"/>
    <col min="9" max="9" width="9" style="1" customWidth="1"/>
    <col min="10" max="10" width="9.140625" style="1" customWidth="1"/>
    <col min="11" max="11" width="10" style="1" customWidth="1"/>
    <col min="12" max="12" width="1.7109375" style="1" customWidth="1"/>
    <col min="13" max="13" width="14.28515625" style="53" customWidth="1"/>
    <col min="14" max="14" width="2" style="1" customWidth="1"/>
    <col min="15" max="15" width="21.5703125" style="1" customWidth="1"/>
    <col min="16" max="16" width="20.7109375" style="1" customWidth="1"/>
    <col min="17" max="17" width="12.5703125" style="1" bestFit="1" customWidth="1"/>
    <col min="18" max="18" width="11.5703125" style="1" customWidth="1"/>
    <col min="19" max="19" width="17" style="68" customWidth="1"/>
    <col min="20" max="20" width="15.7109375" style="1" customWidth="1"/>
    <col min="21" max="21" width="17.5703125" style="68" customWidth="1"/>
    <col min="22" max="22" width="13.85546875" style="1" customWidth="1"/>
    <col min="23" max="23" width="17.85546875" style="68" customWidth="1"/>
    <col min="24" max="24" width="16.42578125" style="1" bestFit="1" customWidth="1"/>
    <col min="25" max="25" width="17.7109375" style="1" customWidth="1"/>
    <col min="26" max="26" width="11.5703125" style="1" bestFit="1" customWidth="1"/>
    <col min="27" max="28" width="6.85546875" style="1"/>
    <col min="29" max="29" width="9" style="1" bestFit="1" customWidth="1"/>
    <col min="30" max="250" width="6.85546875" style="1"/>
    <col min="251" max="251" width="28.5703125" style="1" customWidth="1"/>
    <col min="252" max="252" width="13.5703125" style="1" customWidth="1"/>
    <col min="253" max="253" width="11.7109375" style="1" customWidth="1"/>
    <col min="254" max="254" width="12" style="1" customWidth="1"/>
    <col min="255" max="255" width="11.42578125" style="1" customWidth="1"/>
    <col min="256" max="256" width="13.140625" style="1" customWidth="1"/>
    <col min="257" max="257" width="11.140625" style="1" customWidth="1"/>
    <col min="258" max="258" width="10.7109375" style="1" customWidth="1"/>
    <col min="259" max="259" width="9" style="1" customWidth="1"/>
    <col min="260" max="260" width="9.140625" style="1" customWidth="1"/>
    <col min="261" max="261" width="10" style="1" customWidth="1"/>
    <col min="262" max="262" width="1.7109375" style="1" customWidth="1"/>
    <col min="263" max="263" width="12.42578125" style="1" customWidth="1"/>
    <col min="264" max="264" width="2" style="1" customWidth="1"/>
    <col min="265" max="265" width="13.85546875" style="1" customWidth="1"/>
    <col min="266" max="266" width="3.85546875" style="1" customWidth="1"/>
    <col min="267" max="267" width="12.42578125" style="1" customWidth="1"/>
    <col min="268" max="268" width="12.5703125" style="1" customWidth="1"/>
    <col min="269" max="269" width="5.7109375" style="1" customWidth="1"/>
    <col min="270" max="272" width="6.85546875" style="1"/>
    <col min="273" max="273" width="10.140625" style="1" bestFit="1" customWidth="1"/>
    <col min="274" max="506" width="6.85546875" style="1"/>
    <col min="507" max="507" width="28.5703125" style="1" customWidth="1"/>
    <col min="508" max="508" width="13.5703125" style="1" customWidth="1"/>
    <col min="509" max="509" width="11.7109375" style="1" customWidth="1"/>
    <col min="510" max="510" width="12" style="1" customWidth="1"/>
    <col min="511" max="511" width="11.42578125" style="1" customWidth="1"/>
    <col min="512" max="512" width="13.140625" style="1" customWidth="1"/>
    <col min="513" max="513" width="11.140625" style="1" customWidth="1"/>
    <col min="514" max="514" width="10.7109375" style="1" customWidth="1"/>
    <col min="515" max="515" width="9" style="1" customWidth="1"/>
    <col min="516" max="516" width="9.140625" style="1" customWidth="1"/>
    <col min="517" max="517" width="10" style="1" customWidth="1"/>
    <col min="518" max="518" width="1.7109375" style="1" customWidth="1"/>
    <col min="519" max="519" width="12.42578125" style="1" customWidth="1"/>
    <col min="520" max="520" width="2" style="1" customWidth="1"/>
    <col min="521" max="521" width="13.85546875" style="1" customWidth="1"/>
    <col min="522" max="522" width="3.85546875" style="1" customWidth="1"/>
    <col min="523" max="523" width="12.42578125" style="1" customWidth="1"/>
    <col min="524" max="524" width="12.5703125" style="1" customWidth="1"/>
    <col min="525" max="525" width="5.7109375" style="1" customWidth="1"/>
    <col min="526" max="528" width="6.85546875" style="1"/>
    <col min="529" max="529" width="10.140625" style="1" bestFit="1" customWidth="1"/>
    <col min="530" max="762" width="6.85546875" style="1"/>
    <col min="763" max="763" width="28.5703125" style="1" customWidth="1"/>
    <col min="764" max="764" width="13.5703125" style="1" customWidth="1"/>
    <col min="765" max="765" width="11.7109375" style="1" customWidth="1"/>
    <col min="766" max="766" width="12" style="1" customWidth="1"/>
    <col min="767" max="767" width="11.42578125" style="1" customWidth="1"/>
    <col min="768" max="768" width="13.140625" style="1" customWidth="1"/>
    <col min="769" max="769" width="11.140625" style="1" customWidth="1"/>
    <col min="770" max="770" width="10.7109375" style="1" customWidth="1"/>
    <col min="771" max="771" width="9" style="1" customWidth="1"/>
    <col min="772" max="772" width="9.140625" style="1" customWidth="1"/>
    <col min="773" max="773" width="10" style="1" customWidth="1"/>
    <col min="774" max="774" width="1.7109375" style="1" customWidth="1"/>
    <col min="775" max="775" width="12.42578125" style="1" customWidth="1"/>
    <col min="776" max="776" width="2" style="1" customWidth="1"/>
    <col min="777" max="777" width="13.85546875" style="1" customWidth="1"/>
    <col min="778" max="778" width="3.85546875" style="1" customWidth="1"/>
    <col min="779" max="779" width="12.42578125" style="1" customWidth="1"/>
    <col min="780" max="780" width="12.5703125" style="1" customWidth="1"/>
    <col min="781" max="781" width="5.7109375" style="1" customWidth="1"/>
    <col min="782" max="784" width="6.85546875" style="1"/>
    <col min="785" max="785" width="10.140625" style="1" bestFit="1" customWidth="1"/>
    <col min="786" max="1018" width="6.85546875" style="1"/>
    <col min="1019" max="1019" width="28.5703125" style="1" customWidth="1"/>
    <col min="1020" max="1020" width="13.5703125" style="1" customWidth="1"/>
    <col min="1021" max="1021" width="11.7109375" style="1" customWidth="1"/>
    <col min="1022" max="1022" width="12" style="1" customWidth="1"/>
    <col min="1023" max="1023" width="11.42578125" style="1" customWidth="1"/>
    <col min="1024" max="1024" width="13.140625" style="1" customWidth="1"/>
    <col min="1025" max="1025" width="11.140625" style="1" customWidth="1"/>
    <col min="1026" max="1026" width="10.7109375" style="1" customWidth="1"/>
    <col min="1027" max="1027" width="9" style="1" customWidth="1"/>
    <col min="1028" max="1028" width="9.140625" style="1" customWidth="1"/>
    <col min="1029" max="1029" width="10" style="1" customWidth="1"/>
    <col min="1030" max="1030" width="1.7109375" style="1" customWidth="1"/>
    <col min="1031" max="1031" width="12.42578125" style="1" customWidth="1"/>
    <col min="1032" max="1032" width="2" style="1" customWidth="1"/>
    <col min="1033" max="1033" width="13.85546875" style="1" customWidth="1"/>
    <col min="1034" max="1034" width="3.85546875" style="1" customWidth="1"/>
    <col min="1035" max="1035" width="12.42578125" style="1" customWidth="1"/>
    <col min="1036" max="1036" width="12.5703125" style="1" customWidth="1"/>
    <col min="1037" max="1037" width="5.7109375" style="1" customWidth="1"/>
    <col min="1038" max="1040" width="6.85546875" style="1"/>
    <col min="1041" max="1041" width="10.140625" style="1" bestFit="1" customWidth="1"/>
    <col min="1042" max="1274" width="6.85546875" style="1"/>
    <col min="1275" max="1275" width="28.5703125" style="1" customWidth="1"/>
    <col min="1276" max="1276" width="13.5703125" style="1" customWidth="1"/>
    <col min="1277" max="1277" width="11.7109375" style="1" customWidth="1"/>
    <col min="1278" max="1278" width="12" style="1" customWidth="1"/>
    <col min="1279" max="1279" width="11.42578125" style="1" customWidth="1"/>
    <col min="1280" max="1280" width="13.140625" style="1" customWidth="1"/>
    <col min="1281" max="1281" width="11.140625" style="1" customWidth="1"/>
    <col min="1282" max="1282" width="10.7109375" style="1" customWidth="1"/>
    <col min="1283" max="1283" width="9" style="1" customWidth="1"/>
    <col min="1284" max="1284" width="9.140625" style="1" customWidth="1"/>
    <col min="1285" max="1285" width="10" style="1" customWidth="1"/>
    <col min="1286" max="1286" width="1.7109375" style="1" customWidth="1"/>
    <col min="1287" max="1287" width="12.42578125" style="1" customWidth="1"/>
    <col min="1288" max="1288" width="2" style="1" customWidth="1"/>
    <col min="1289" max="1289" width="13.85546875" style="1" customWidth="1"/>
    <col min="1290" max="1290" width="3.85546875" style="1" customWidth="1"/>
    <col min="1291" max="1291" width="12.42578125" style="1" customWidth="1"/>
    <col min="1292" max="1292" width="12.5703125" style="1" customWidth="1"/>
    <col min="1293" max="1293" width="5.7109375" style="1" customWidth="1"/>
    <col min="1294" max="1296" width="6.85546875" style="1"/>
    <col min="1297" max="1297" width="10.140625" style="1" bestFit="1" customWidth="1"/>
    <col min="1298" max="1530" width="6.85546875" style="1"/>
    <col min="1531" max="1531" width="28.5703125" style="1" customWidth="1"/>
    <col min="1532" max="1532" width="13.5703125" style="1" customWidth="1"/>
    <col min="1533" max="1533" width="11.7109375" style="1" customWidth="1"/>
    <col min="1534" max="1534" width="12" style="1" customWidth="1"/>
    <col min="1535" max="1535" width="11.42578125" style="1" customWidth="1"/>
    <col min="1536" max="1536" width="13.140625" style="1" customWidth="1"/>
    <col min="1537" max="1537" width="11.140625" style="1" customWidth="1"/>
    <col min="1538" max="1538" width="10.7109375" style="1" customWidth="1"/>
    <col min="1539" max="1539" width="9" style="1" customWidth="1"/>
    <col min="1540" max="1540" width="9.140625" style="1" customWidth="1"/>
    <col min="1541" max="1541" width="10" style="1" customWidth="1"/>
    <col min="1542" max="1542" width="1.7109375" style="1" customWidth="1"/>
    <col min="1543" max="1543" width="12.42578125" style="1" customWidth="1"/>
    <col min="1544" max="1544" width="2" style="1" customWidth="1"/>
    <col min="1545" max="1545" width="13.85546875" style="1" customWidth="1"/>
    <col min="1546" max="1546" width="3.85546875" style="1" customWidth="1"/>
    <col min="1547" max="1547" width="12.42578125" style="1" customWidth="1"/>
    <col min="1548" max="1548" width="12.5703125" style="1" customWidth="1"/>
    <col min="1549" max="1549" width="5.7109375" style="1" customWidth="1"/>
    <col min="1550" max="1552" width="6.85546875" style="1"/>
    <col min="1553" max="1553" width="10.140625" style="1" bestFit="1" customWidth="1"/>
    <col min="1554" max="1786" width="6.85546875" style="1"/>
    <col min="1787" max="1787" width="28.5703125" style="1" customWidth="1"/>
    <col min="1788" max="1788" width="13.5703125" style="1" customWidth="1"/>
    <col min="1789" max="1789" width="11.7109375" style="1" customWidth="1"/>
    <col min="1790" max="1790" width="12" style="1" customWidth="1"/>
    <col min="1791" max="1791" width="11.42578125" style="1" customWidth="1"/>
    <col min="1792" max="1792" width="13.140625" style="1" customWidth="1"/>
    <col min="1793" max="1793" width="11.140625" style="1" customWidth="1"/>
    <col min="1794" max="1794" width="10.7109375" style="1" customWidth="1"/>
    <col min="1795" max="1795" width="9" style="1" customWidth="1"/>
    <col min="1796" max="1796" width="9.140625" style="1" customWidth="1"/>
    <col min="1797" max="1797" width="10" style="1" customWidth="1"/>
    <col min="1798" max="1798" width="1.7109375" style="1" customWidth="1"/>
    <col min="1799" max="1799" width="12.42578125" style="1" customWidth="1"/>
    <col min="1800" max="1800" width="2" style="1" customWidth="1"/>
    <col min="1801" max="1801" width="13.85546875" style="1" customWidth="1"/>
    <col min="1802" max="1802" width="3.85546875" style="1" customWidth="1"/>
    <col min="1803" max="1803" width="12.42578125" style="1" customWidth="1"/>
    <col min="1804" max="1804" width="12.5703125" style="1" customWidth="1"/>
    <col min="1805" max="1805" width="5.7109375" style="1" customWidth="1"/>
    <col min="1806" max="1808" width="6.85546875" style="1"/>
    <col min="1809" max="1809" width="10.140625" style="1" bestFit="1" customWidth="1"/>
    <col min="1810" max="2042" width="6.85546875" style="1"/>
    <col min="2043" max="2043" width="28.5703125" style="1" customWidth="1"/>
    <col min="2044" max="2044" width="13.5703125" style="1" customWidth="1"/>
    <col min="2045" max="2045" width="11.7109375" style="1" customWidth="1"/>
    <col min="2046" max="2046" width="12" style="1" customWidth="1"/>
    <col min="2047" max="2047" width="11.42578125" style="1" customWidth="1"/>
    <col min="2048" max="2048" width="13.140625" style="1" customWidth="1"/>
    <col min="2049" max="2049" width="11.140625" style="1" customWidth="1"/>
    <col min="2050" max="2050" width="10.7109375" style="1" customWidth="1"/>
    <col min="2051" max="2051" width="9" style="1" customWidth="1"/>
    <col min="2052" max="2052" width="9.140625" style="1" customWidth="1"/>
    <col min="2053" max="2053" width="10" style="1" customWidth="1"/>
    <col min="2054" max="2054" width="1.7109375" style="1" customWidth="1"/>
    <col min="2055" max="2055" width="12.42578125" style="1" customWidth="1"/>
    <col min="2056" max="2056" width="2" style="1" customWidth="1"/>
    <col min="2057" max="2057" width="13.85546875" style="1" customWidth="1"/>
    <col min="2058" max="2058" width="3.85546875" style="1" customWidth="1"/>
    <col min="2059" max="2059" width="12.42578125" style="1" customWidth="1"/>
    <col min="2060" max="2060" width="12.5703125" style="1" customWidth="1"/>
    <col min="2061" max="2061" width="5.7109375" style="1" customWidth="1"/>
    <col min="2062" max="2064" width="6.85546875" style="1"/>
    <col min="2065" max="2065" width="10.140625" style="1" bestFit="1" customWidth="1"/>
    <col min="2066" max="2298" width="6.85546875" style="1"/>
    <col min="2299" max="2299" width="28.5703125" style="1" customWidth="1"/>
    <col min="2300" max="2300" width="13.5703125" style="1" customWidth="1"/>
    <col min="2301" max="2301" width="11.7109375" style="1" customWidth="1"/>
    <col min="2302" max="2302" width="12" style="1" customWidth="1"/>
    <col min="2303" max="2303" width="11.42578125" style="1" customWidth="1"/>
    <col min="2304" max="2304" width="13.140625" style="1" customWidth="1"/>
    <col min="2305" max="2305" width="11.140625" style="1" customWidth="1"/>
    <col min="2306" max="2306" width="10.7109375" style="1" customWidth="1"/>
    <col min="2307" max="2307" width="9" style="1" customWidth="1"/>
    <col min="2308" max="2308" width="9.140625" style="1" customWidth="1"/>
    <col min="2309" max="2309" width="10" style="1" customWidth="1"/>
    <col min="2310" max="2310" width="1.7109375" style="1" customWidth="1"/>
    <col min="2311" max="2311" width="12.42578125" style="1" customWidth="1"/>
    <col min="2312" max="2312" width="2" style="1" customWidth="1"/>
    <col min="2313" max="2313" width="13.85546875" style="1" customWidth="1"/>
    <col min="2314" max="2314" width="3.85546875" style="1" customWidth="1"/>
    <col min="2315" max="2315" width="12.42578125" style="1" customWidth="1"/>
    <col min="2316" max="2316" width="12.5703125" style="1" customWidth="1"/>
    <col min="2317" max="2317" width="5.7109375" style="1" customWidth="1"/>
    <col min="2318" max="2320" width="6.85546875" style="1"/>
    <col min="2321" max="2321" width="10.140625" style="1" bestFit="1" customWidth="1"/>
    <col min="2322" max="2554" width="6.85546875" style="1"/>
    <col min="2555" max="2555" width="28.5703125" style="1" customWidth="1"/>
    <col min="2556" max="2556" width="13.5703125" style="1" customWidth="1"/>
    <col min="2557" max="2557" width="11.7109375" style="1" customWidth="1"/>
    <col min="2558" max="2558" width="12" style="1" customWidth="1"/>
    <col min="2559" max="2559" width="11.42578125" style="1" customWidth="1"/>
    <col min="2560" max="2560" width="13.140625" style="1" customWidth="1"/>
    <col min="2561" max="2561" width="11.140625" style="1" customWidth="1"/>
    <col min="2562" max="2562" width="10.7109375" style="1" customWidth="1"/>
    <col min="2563" max="2563" width="9" style="1" customWidth="1"/>
    <col min="2564" max="2564" width="9.140625" style="1" customWidth="1"/>
    <col min="2565" max="2565" width="10" style="1" customWidth="1"/>
    <col min="2566" max="2566" width="1.7109375" style="1" customWidth="1"/>
    <col min="2567" max="2567" width="12.42578125" style="1" customWidth="1"/>
    <col min="2568" max="2568" width="2" style="1" customWidth="1"/>
    <col min="2569" max="2569" width="13.85546875" style="1" customWidth="1"/>
    <col min="2570" max="2570" width="3.85546875" style="1" customWidth="1"/>
    <col min="2571" max="2571" width="12.42578125" style="1" customWidth="1"/>
    <col min="2572" max="2572" width="12.5703125" style="1" customWidth="1"/>
    <col min="2573" max="2573" width="5.7109375" style="1" customWidth="1"/>
    <col min="2574" max="2576" width="6.85546875" style="1"/>
    <col min="2577" max="2577" width="10.140625" style="1" bestFit="1" customWidth="1"/>
    <col min="2578" max="2810" width="6.85546875" style="1"/>
    <col min="2811" max="2811" width="28.5703125" style="1" customWidth="1"/>
    <col min="2812" max="2812" width="13.5703125" style="1" customWidth="1"/>
    <col min="2813" max="2813" width="11.7109375" style="1" customWidth="1"/>
    <col min="2814" max="2814" width="12" style="1" customWidth="1"/>
    <col min="2815" max="2815" width="11.42578125" style="1" customWidth="1"/>
    <col min="2816" max="2816" width="13.140625" style="1" customWidth="1"/>
    <col min="2817" max="2817" width="11.140625" style="1" customWidth="1"/>
    <col min="2818" max="2818" width="10.7109375" style="1" customWidth="1"/>
    <col min="2819" max="2819" width="9" style="1" customWidth="1"/>
    <col min="2820" max="2820" width="9.140625" style="1" customWidth="1"/>
    <col min="2821" max="2821" width="10" style="1" customWidth="1"/>
    <col min="2822" max="2822" width="1.7109375" style="1" customWidth="1"/>
    <col min="2823" max="2823" width="12.42578125" style="1" customWidth="1"/>
    <col min="2824" max="2824" width="2" style="1" customWidth="1"/>
    <col min="2825" max="2825" width="13.85546875" style="1" customWidth="1"/>
    <col min="2826" max="2826" width="3.85546875" style="1" customWidth="1"/>
    <col min="2827" max="2827" width="12.42578125" style="1" customWidth="1"/>
    <col min="2828" max="2828" width="12.5703125" style="1" customWidth="1"/>
    <col min="2829" max="2829" width="5.7109375" style="1" customWidth="1"/>
    <col min="2830" max="2832" width="6.85546875" style="1"/>
    <col min="2833" max="2833" width="10.140625" style="1" bestFit="1" customWidth="1"/>
    <col min="2834" max="3066" width="6.85546875" style="1"/>
    <col min="3067" max="3067" width="28.5703125" style="1" customWidth="1"/>
    <col min="3068" max="3068" width="13.5703125" style="1" customWidth="1"/>
    <col min="3069" max="3069" width="11.7109375" style="1" customWidth="1"/>
    <col min="3070" max="3070" width="12" style="1" customWidth="1"/>
    <col min="3071" max="3071" width="11.42578125" style="1" customWidth="1"/>
    <col min="3072" max="3072" width="13.140625" style="1" customWidth="1"/>
    <col min="3073" max="3073" width="11.140625" style="1" customWidth="1"/>
    <col min="3074" max="3074" width="10.7109375" style="1" customWidth="1"/>
    <col min="3075" max="3075" width="9" style="1" customWidth="1"/>
    <col min="3076" max="3076" width="9.140625" style="1" customWidth="1"/>
    <col min="3077" max="3077" width="10" style="1" customWidth="1"/>
    <col min="3078" max="3078" width="1.7109375" style="1" customWidth="1"/>
    <col min="3079" max="3079" width="12.42578125" style="1" customWidth="1"/>
    <col min="3080" max="3080" width="2" style="1" customWidth="1"/>
    <col min="3081" max="3081" width="13.85546875" style="1" customWidth="1"/>
    <col min="3082" max="3082" width="3.85546875" style="1" customWidth="1"/>
    <col min="3083" max="3083" width="12.42578125" style="1" customWidth="1"/>
    <col min="3084" max="3084" width="12.5703125" style="1" customWidth="1"/>
    <col min="3085" max="3085" width="5.7109375" style="1" customWidth="1"/>
    <col min="3086" max="3088" width="6.85546875" style="1"/>
    <col min="3089" max="3089" width="10.140625" style="1" bestFit="1" customWidth="1"/>
    <col min="3090" max="3322" width="6.85546875" style="1"/>
    <col min="3323" max="3323" width="28.5703125" style="1" customWidth="1"/>
    <col min="3324" max="3324" width="13.5703125" style="1" customWidth="1"/>
    <col min="3325" max="3325" width="11.7109375" style="1" customWidth="1"/>
    <col min="3326" max="3326" width="12" style="1" customWidth="1"/>
    <col min="3327" max="3327" width="11.42578125" style="1" customWidth="1"/>
    <col min="3328" max="3328" width="13.140625" style="1" customWidth="1"/>
    <col min="3329" max="3329" width="11.140625" style="1" customWidth="1"/>
    <col min="3330" max="3330" width="10.7109375" style="1" customWidth="1"/>
    <col min="3331" max="3331" width="9" style="1" customWidth="1"/>
    <col min="3332" max="3332" width="9.140625" style="1" customWidth="1"/>
    <col min="3333" max="3333" width="10" style="1" customWidth="1"/>
    <col min="3334" max="3334" width="1.7109375" style="1" customWidth="1"/>
    <col min="3335" max="3335" width="12.42578125" style="1" customWidth="1"/>
    <col min="3336" max="3336" width="2" style="1" customWidth="1"/>
    <col min="3337" max="3337" width="13.85546875" style="1" customWidth="1"/>
    <col min="3338" max="3338" width="3.85546875" style="1" customWidth="1"/>
    <col min="3339" max="3339" width="12.42578125" style="1" customWidth="1"/>
    <col min="3340" max="3340" width="12.5703125" style="1" customWidth="1"/>
    <col min="3341" max="3341" width="5.7109375" style="1" customWidth="1"/>
    <col min="3342" max="3344" width="6.85546875" style="1"/>
    <col min="3345" max="3345" width="10.140625" style="1" bestFit="1" customWidth="1"/>
    <col min="3346" max="3578" width="6.85546875" style="1"/>
    <col min="3579" max="3579" width="28.5703125" style="1" customWidth="1"/>
    <col min="3580" max="3580" width="13.5703125" style="1" customWidth="1"/>
    <col min="3581" max="3581" width="11.7109375" style="1" customWidth="1"/>
    <col min="3582" max="3582" width="12" style="1" customWidth="1"/>
    <col min="3583" max="3583" width="11.42578125" style="1" customWidth="1"/>
    <col min="3584" max="3584" width="13.140625" style="1" customWidth="1"/>
    <col min="3585" max="3585" width="11.140625" style="1" customWidth="1"/>
    <col min="3586" max="3586" width="10.7109375" style="1" customWidth="1"/>
    <col min="3587" max="3587" width="9" style="1" customWidth="1"/>
    <col min="3588" max="3588" width="9.140625" style="1" customWidth="1"/>
    <col min="3589" max="3589" width="10" style="1" customWidth="1"/>
    <col min="3590" max="3590" width="1.7109375" style="1" customWidth="1"/>
    <col min="3591" max="3591" width="12.42578125" style="1" customWidth="1"/>
    <col min="3592" max="3592" width="2" style="1" customWidth="1"/>
    <col min="3593" max="3593" width="13.85546875" style="1" customWidth="1"/>
    <col min="3594" max="3594" width="3.85546875" style="1" customWidth="1"/>
    <col min="3595" max="3595" width="12.42578125" style="1" customWidth="1"/>
    <col min="3596" max="3596" width="12.5703125" style="1" customWidth="1"/>
    <col min="3597" max="3597" width="5.7109375" style="1" customWidth="1"/>
    <col min="3598" max="3600" width="6.85546875" style="1"/>
    <col min="3601" max="3601" width="10.140625" style="1" bestFit="1" customWidth="1"/>
    <col min="3602" max="3834" width="6.85546875" style="1"/>
    <col min="3835" max="3835" width="28.5703125" style="1" customWidth="1"/>
    <col min="3836" max="3836" width="13.5703125" style="1" customWidth="1"/>
    <col min="3837" max="3837" width="11.7109375" style="1" customWidth="1"/>
    <col min="3838" max="3838" width="12" style="1" customWidth="1"/>
    <col min="3839" max="3839" width="11.42578125" style="1" customWidth="1"/>
    <col min="3840" max="3840" width="13.140625" style="1" customWidth="1"/>
    <col min="3841" max="3841" width="11.140625" style="1" customWidth="1"/>
    <col min="3842" max="3842" width="10.7109375" style="1" customWidth="1"/>
    <col min="3843" max="3843" width="9" style="1" customWidth="1"/>
    <col min="3844" max="3844" width="9.140625" style="1" customWidth="1"/>
    <col min="3845" max="3845" width="10" style="1" customWidth="1"/>
    <col min="3846" max="3846" width="1.7109375" style="1" customWidth="1"/>
    <col min="3847" max="3847" width="12.42578125" style="1" customWidth="1"/>
    <col min="3848" max="3848" width="2" style="1" customWidth="1"/>
    <col min="3849" max="3849" width="13.85546875" style="1" customWidth="1"/>
    <col min="3850" max="3850" width="3.85546875" style="1" customWidth="1"/>
    <col min="3851" max="3851" width="12.42578125" style="1" customWidth="1"/>
    <col min="3852" max="3852" width="12.5703125" style="1" customWidth="1"/>
    <col min="3853" max="3853" width="5.7109375" style="1" customWidth="1"/>
    <col min="3854" max="3856" width="6.85546875" style="1"/>
    <col min="3857" max="3857" width="10.140625" style="1" bestFit="1" customWidth="1"/>
    <col min="3858" max="4090" width="6.85546875" style="1"/>
    <col min="4091" max="4091" width="28.5703125" style="1" customWidth="1"/>
    <col min="4092" max="4092" width="13.5703125" style="1" customWidth="1"/>
    <col min="4093" max="4093" width="11.7109375" style="1" customWidth="1"/>
    <col min="4094" max="4094" width="12" style="1" customWidth="1"/>
    <col min="4095" max="4095" width="11.42578125" style="1" customWidth="1"/>
    <col min="4096" max="4096" width="13.140625" style="1" customWidth="1"/>
    <col min="4097" max="4097" width="11.140625" style="1" customWidth="1"/>
    <col min="4098" max="4098" width="10.7109375" style="1" customWidth="1"/>
    <col min="4099" max="4099" width="9" style="1" customWidth="1"/>
    <col min="4100" max="4100" width="9.140625" style="1" customWidth="1"/>
    <col min="4101" max="4101" width="10" style="1" customWidth="1"/>
    <col min="4102" max="4102" width="1.7109375" style="1" customWidth="1"/>
    <col min="4103" max="4103" width="12.42578125" style="1" customWidth="1"/>
    <col min="4104" max="4104" width="2" style="1" customWidth="1"/>
    <col min="4105" max="4105" width="13.85546875" style="1" customWidth="1"/>
    <col min="4106" max="4106" width="3.85546875" style="1" customWidth="1"/>
    <col min="4107" max="4107" width="12.42578125" style="1" customWidth="1"/>
    <col min="4108" max="4108" width="12.5703125" style="1" customWidth="1"/>
    <col min="4109" max="4109" width="5.7109375" style="1" customWidth="1"/>
    <col min="4110" max="4112" width="6.85546875" style="1"/>
    <col min="4113" max="4113" width="10.140625" style="1" bestFit="1" customWidth="1"/>
    <col min="4114" max="4346" width="6.85546875" style="1"/>
    <col min="4347" max="4347" width="28.5703125" style="1" customWidth="1"/>
    <col min="4348" max="4348" width="13.5703125" style="1" customWidth="1"/>
    <col min="4349" max="4349" width="11.7109375" style="1" customWidth="1"/>
    <col min="4350" max="4350" width="12" style="1" customWidth="1"/>
    <col min="4351" max="4351" width="11.42578125" style="1" customWidth="1"/>
    <col min="4352" max="4352" width="13.140625" style="1" customWidth="1"/>
    <col min="4353" max="4353" width="11.140625" style="1" customWidth="1"/>
    <col min="4354" max="4354" width="10.7109375" style="1" customWidth="1"/>
    <col min="4355" max="4355" width="9" style="1" customWidth="1"/>
    <col min="4356" max="4356" width="9.140625" style="1" customWidth="1"/>
    <col min="4357" max="4357" width="10" style="1" customWidth="1"/>
    <col min="4358" max="4358" width="1.7109375" style="1" customWidth="1"/>
    <col min="4359" max="4359" width="12.42578125" style="1" customWidth="1"/>
    <col min="4360" max="4360" width="2" style="1" customWidth="1"/>
    <col min="4361" max="4361" width="13.85546875" style="1" customWidth="1"/>
    <col min="4362" max="4362" width="3.85546875" style="1" customWidth="1"/>
    <col min="4363" max="4363" width="12.42578125" style="1" customWidth="1"/>
    <col min="4364" max="4364" width="12.5703125" style="1" customWidth="1"/>
    <col min="4365" max="4365" width="5.7109375" style="1" customWidth="1"/>
    <col min="4366" max="4368" width="6.85546875" style="1"/>
    <col min="4369" max="4369" width="10.140625" style="1" bestFit="1" customWidth="1"/>
    <col min="4370" max="4602" width="6.85546875" style="1"/>
    <col min="4603" max="4603" width="28.5703125" style="1" customWidth="1"/>
    <col min="4604" max="4604" width="13.5703125" style="1" customWidth="1"/>
    <col min="4605" max="4605" width="11.7109375" style="1" customWidth="1"/>
    <col min="4606" max="4606" width="12" style="1" customWidth="1"/>
    <col min="4607" max="4607" width="11.42578125" style="1" customWidth="1"/>
    <col min="4608" max="4608" width="13.140625" style="1" customWidth="1"/>
    <col min="4609" max="4609" width="11.140625" style="1" customWidth="1"/>
    <col min="4610" max="4610" width="10.7109375" style="1" customWidth="1"/>
    <col min="4611" max="4611" width="9" style="1" customWidth="1"/>
    <col min="4612" max="4612" width="9.140625" style="1" customWidth="1"/>
    <col min="4613" max="4613" width="10" style="1" customWidth="1"/>
    <col min="4614" max="4614" width="1.7109375" style="1" customWidth="1"/>
    <col min="4615" max="4615" width="12.42578125" style="1" customWidth="1"/>
    <col min="4616" max="4616" width="2" style="1" customWidth="1"/>
    <col min="4617" max="4617" width="13.85546875" style="1" customWidth="1"/>
    <col min="4618" max="4618" width="3.85546875" style="1" customWidth="1"/>
    <col min="4619" max="4619" width="12.42578125" style="1" customWidth="1"/>
    <col min="4620" max="4620" width="12.5703125" style="1" customWidth="1"/>
    <col min="4621" max="4621" width="5.7109375" style="1" customWidth="1"/>
    <col min="4622" max="4624" width="6.85546875" style="1"/>
    <col min="4625" max="4625" width="10.140625" style="1" bestFit="1" customWidth="1"/>
    <col min="4626" max="4858" width="6.85546875" style="1"/>
    <col min="4859" max="4859" width="28.5703125" style="1" customWidth="1"/>
    <col min="4860" max="4860" width="13.5703125" style="1" customWidth="1"/>
    <col min="4861" max="4861" width="11.7109375" style="1" customWidth="1"/>
    <col min="4862" max="4862" width="12" style="1" customWidth="1"/>
    <col min="4863" max="4863" width="11.42578125" style="1" customWidth="1"/>
    <col min="4864" max="4864" width="13.140625" style="1" customWidth="1"/>
    <col min="4865" max="4865" width="11.140625" style="1" customWidth="1"/>
    <col min="4866" max="4866" width="10.7109375" style="1" customWidth="1"/>
    <col min="4867" max="4867" width="9" style="1" customWidth="1"/>
    <col min="4868" max="4868" width="9.140625" style="1" customWidth="1"/>
    <col min="4869" max="4869" width="10" style="1" customWidth="1"/>
    <col min="4870" max="4870" width="1.7109375" style="1" customWidth="1"/>
    <col min="4871" max="4871" width="12.42578125" style="1" customWidth="1"/>
    <col min="4872" max="4872" width="2" style="1" customWidth="1"/>
    <col min="4873" max="4873" width="13.85546875" style="1" customWidth="1"/>
    <col min="4874" max="4874" width="3.85546875" style="1" customWidth="1"/>
    <col min="4875" max="4875" width="12.42578125" style="1" customWidth="1"/>
    <col min="4876" max="4876" width="12.5703125" style="1" customWidth="1"/>
    <col min="4877" max="4877" width="5.7109375" style="1" customWidth="1"/>
    <col min="4878" max="4880" width="6.85546875" style="1"/>
    <col min="4881" max="4881" width="10.140625" style="1" bestFit="1" customWidth="1"/>
    <col min="4882" max="5114" width="6.85546875" style="1"/>
    <col min="5115" max="5115" width="28.5703125" style="1" customWidth="1"/>
    <col min="5116" max="5116" width="13.5703125" style="1" customWidth="1"/>
    <col min="5117" max="5117" width="11.7109375" style="1" customWidth="1"/>
    <col min="5118" max="5118" width="12" style="1" customWidth="1"/>
    <col min="5119" max="5119" width="11.42578125" style="1" customWidth="1"/>
    <col min="5120" max="5120" width="13.140625" style="1" customWidth="1"/>
    <col min="5121" max="5121" width="11.140625" style="1" customWidth="1"/>
    <col min="5122" max="5122" width="10.7109375" style="1" customWidth="1"/>
    <col min="5123" max="5123" width="9" style="1" customWidth="1"/>
    <col min="5124" max="5124" width="9.140625" style="1" customWidth="1"/>
    <col min="5125" max="5125" width="10" style="1" customWidth="1"/>
    <col min="5126" max="5126" width="1.7109375" style="1" customWidth="1"/>
    <col min="5127" max="5127" width="12.42578125" style="1" customWidth="1"/>
    <col min="5128" max="5128" width="2" style="1" customWidth="1"/>
    <col min="5129" max="5129" width="13.85546875" style="1" customWidth="1"/>
    <col min="5130" max="5130" width="3.85546875" style="1" customWidth="1"/>
    <col min="5131" max="5131" width="12.42578125" style="1" customWidth="1"/>
    <col min="5132" max="5132" width="12.5703125" style="1" customWidth="1"/>
    <col min="5133" max="5133" width="5.7109375" style="1" customWidth="1"/>
    <col min="5134" max="5136" width="6.85546875" style="1"/>
    <col min="5137" max="5137" width="10.140625" style="1" bestFit="1" customWidth="1"/>
    <col min="5138" max="5370" width="6.85546875" style="1"/>
    <col min="5371" max="5371" width="28.5703125" style="1" customWidth="1"/>
    <col min="5372" max="5372" width="13.5703125" style="1" customWidth="1"/>
    <col min="5373" max="5373" width="11.7109375" style="1" customWidth="1"/>
    <col min="5374" max="5374" width="12" style="1" customWidth="1"/>
    <col min="5375" max="5375" width="11.42578125" style="1" customWidth="1"/>
    <col min="5376" max="5376" width="13.140625" style="1" customWidth="1"/>
    <col min="5377" max="5377" width="11.140625" style="1" customWidth="1"/>
    <col min="5378" max="5378" width="10.7109375" style="1" customWidth="1"/>
    <col min="5379" max="5379" width="9" style="1" customWidth="1"/>
    <col min="5380" max="5380" width="9.140625" style="1" customWidth="1"/>
    <col min="5381" max="5381" width="10" style="1" customWidth="1"/>
    <col min="5382" max="5382" width="1.7109375" style="1" customWidth="1"/>
    <col min="5383" max="5383" width="12.42578125" style="1" customWidth="1"/>
    <col min="5384" max="5384" width="2" style="1" customWidth="1"/>
    <col min="5385" max="5385" width="13.85546875" style="1" customWidth="1"/>
    <col min="5386" max="5386" width="3.85546875" style="1" customWidth="1"/>
    <col min="5387" max="5387" width="12.42578125" style="1" customWidth="1"/>
    <col min="5388" max="5388" width="12.5703125" style="1" customWidth="1"/>
    <col min="5389" max="5389" width="5.7109375" style="1" customWidth="1"/>
    <col min="5390" max="5392" width="6.85546875" style="1"/>
    <col min="5393" max="5393" width="10.140625" style="1" bestFit="1" customWidth="1"/>
    <col min="5394" max="5626" width="6.85546875" style="1"/>
    <col min="5627" max="5627" width="28.5703125" style="1" customWidth="1"/>
    <col min="5628" max="5628" width="13.5703125" style="1" customWidth="1"/>
    <col min="5629" max="5629" width="11.7109375" style="1" customWidth="1"/>
    <col min="5630" max="5630" width="12" style="1" customWidth="1"/>
    <col min="5631" max="5631" width="11.42578125" style="1" customWidth="1"/>
    <col min="5632" max="5632" width="13.140625" style="1" customWidth="1"/>
    <col min="5633" max="5633" width="11.140625" style="1" customWidth="1"/>
    <col min="5634" max="5634" width="10.7109375" style="1" customWidth="1"/>
    <col min="5635" max="5635" width="9" style="1" customWidth="1"/>
    <col min="5636" max="5636" width="9.140625" style="1" customWidth="1"/>
    <col min="5637" max="5637" width="10" style="1" customWidth="1"/>
    <col min="5638" max="5638" width="1.7109375" style="1" customWidth="1"/>
    <col min="5639" max="5639" width="12.42578125" style="1" customWidth="1"/>
    <col min="5640" max="5640" width="2" style="1" customWidth="1"/>
    <col min="5641" max="5641" width="13.85546875" style="1" customWidth="1"/>
    <col min="5642" max="5642" width="3.85546875" style="1" customWidth="1"/>
    <col min="5643" max="5643" width="12.42578125" style="1" customWidth="1"/>
    <col min="5644" max="5644" width="12.5703125" style="1" customWidth="1"/>
    <col min="5645" max="5645" width="5.7109375" style="1" customWidth="1"/>
    <col min="5646" max="5648" width="6.85546875" style="1"/>
    <col min="5649" max="5649" width="10.140625" style="1" bestFit="1" customWidth="1"/>
    <col min="5650" max="5882" width="6.85546875" style="1"/>
    <col min="5883" max="5883" width="28.5703125" style="1" customWidth="1"/>
    <col min="5884" max="5884" width="13.5703125" style="1" customWidth="1"/>
    <col min="5885" max="5885" width="11.7109375" style="1" customWidth="1"/>
    <col min="5886" max="5886" width="12" style="1" customWidth="1"/>
    <col min="5887" max="5887" width="11.42578125" style="1" customWidth="1"/>
    <col min="5888" max="5888" width="13.140625" style="1" customWidth="1"/>
    <col min="5889" max="5889" width="11.140625" style="1" customWidth="1"/>
    <col min="5890" max="5890" width="10.7109375" style="1" customWidth="1"/>
    <col min="5891" max="5891" width="9" style="1" customWidth="1"/>
    <col min="5892" max="5892" width="9.140625" style="1" customWidth="1"/>
    <col min="5893" max="5893" width="10" style="1" customWidth="1"/>
    <col min="5894" max="5894" width="1.7109375" style="1" customWidth="1"/>
    <col min="5895" max="5895" width="12.42578125" style="1" customWidth="1"/>
    <col min="5896" max="5896" width="2" style="1" customWidth="1"/>
    <col min="5897" max="5897" width="13.85546875" style="1" customWidth="1"/>
    <col min="5898" max="5898" width="3.85546875" style="1" customWidth="1"/>
    <col min="5899" max="5899" width="12.42578125" style="1" customWidth="1"/>
    <col min="5900" max="5900" width="12.5703125" style="1" customWidth="1"/>
    <col min="5901" max="5901" width="5.7109375" style="1" customWidth="1"/>
    <col min="5902" max="5904" width="6.85546875" style="1"/>
    <col min="5905" max="5905" width="10.140625" style="1" bestFit="1" customWidth="1"/>
    <col min="5906" max="6138" width="6.85546875" style="1"/>
    <col min="6139" max="6139" width="28.5703125" style="1" customWidth="1"/>
    <col min="6140" max="6140" width="13.5703125" style="1" customWidth="1"/>
    <col min="6141" max="6141" width="11.7109375" style="1" customWidth="1"/>
    <col min="6142" max="6142" width="12" style="1" customWidth="1"/>
    <col min="6143" max="6143" width="11.42578125" style="1" customWidth="1"/>
    <col min="6144" max="6144" width="13.140625" style="1" customWidth="1"/>
    <col min="6145" max="6145" width="11.140625" style="1" customWidth="1"/>
    <col min="6146" max="6146" width="10.7109375" style="1" customWidth="1"/>
    <col min="6147" max="6147" width="9" style="1" customWidth="1"/>
    <col min="6148" max="6148" width="9.140625" style="1" customWidth="1"/>
    <col min="6149" max="6149" width="10" style="1" customWidth="1"/>
    <col min="6150" max="6150" width="1.7109375" style="1" customWidth="1"/>
    <col min="6151" max="6151" width="12.42578125" style="1" customWidth="1"/>
    <col min="6152" max="6152" width="2" style="1" customWidth="1"/>
    <col min="6153" max="6153" width="13.85546875" style="1" customWidth="1"/>
    <col min="6154" max="6154" width="3.85546875" style="1" customWidth="1"/>
    <col min="6155" max="6155" width="12.42578125" style="1" customWidth="1"/>
    <col min="6156" max="6156" width="12.5703125" style="1" customWidth="1"/>
    <col min="6157" max="6157" width="5.7109375" style="1" customWidth="1"/>
    <col min="6158" max="6160" width="6.85546875" style="1"/>
    <col min="6161" max="6161" width="10.140625" style="1" bestFit="1" customWidth="1"/>
    <col min="6162" max="6394" width="6.85546875" style="1"/>
    <col min="6395" max="6395" width="28.5703125" style="1" customWidth="1"/>
    <col min="6396" max="6396" width="13.5703125" style="1" customWidth="1"/>
    <col min="6397" max="6397" width="11.7109375" style="1" customWidth="1"/>
    <col min="6398" max="6398" width="12" style="1" customWidth="1"/>
    <col min="6399" max="6399" width="11.42578125" style="1" customWidth="1"/>
    <col min="6400" max="6400" width="13.140625" style="1" customWidth="1"/>
    <col min="6401" max="6401" width="11.140625" style="1" customWidth="1"/>
    <col min="6402" max="6402" width="10.7109375" style="1" customWidth="1"/>
    <col min="6403" max="6403" width="9" style="1" customWidth="1"/>
    <col min="6404" max="6404" width="9.140625" style="1" customWidth="1"/>
    <col min="6405" max="6405" width="10" style="1" customWidth="1"/>
    <col min="6406" max="6406" width="1.7109375" style="1" customWidth="1"/>
    <col min="6407" max="6407" width="12.42578125" style="1" customWidth="1"/>
    <col min="6408" max="6408" width="2" style="1" customWidth="1"/>
    <col min="6409" max="6409" width="13.85546875" style="1" customWidth="1"/>
    <col min="6410" max="6410" width="3.85546875" style="1" customWidth="1"/>
    <col min="6411" max="6411" width="12.42578125" style="1" customWidth="1"/>
    <col min="6412" max="6412" width="12.5703125" style="1" customWidth="1"/>
    <col min="6413" max="6413" width="5.7109375" style="1" customWidth="1"/>
    <col min="6414" max="6416" width="6.85546875" style="1"/>
    <col min="6417" max="6417" width="10.140625" style="1" bestFit="1" customWidth="1"/>
    <col min="6418" max="6650" width="6.85546875" style="1"/>
    <col min="6651" max="6651" width="28.5703125" style="1" customWidth="1"/>
    <col min="6652" max="6652" width="13.5703125" style="1" customWidth="1"/>
    <col min="6653" max="6653" width="11.7109375" style="1" customWidth="1"/>
    <col min="6654" max="6654" width="12" style="1" customWidth="1"/>
    <col min="6655" max="6655" width="11.42578125" style="1" customWidth="1"/>
    <col min="6656" max="6656" width="13.140625" style="1" customWidth="1"/>
    <col min="6657" max="6657" width="11.140625" style="1" customWidth="1"/>
    <col min="6658" max="6658" width="10.7109375" style="1" customWidth="1"/>
    <col min="6659" max="6659" width="9" style="1" customWidth="1"/>
    <col min="6660" max="6660" width="9.140625" style="1" customWidth="1"/>
    <col min="6661" max="6661" width="10" style="1" customWidth="1"/>
    <col min="6662" max="6662" width="1.7109375" style="1" customWidth="1"/>
    <col min="6663" max="6663" width="12.42578125" style="1" customWidth="1"/>
    <col min="6664" max="6664" width="2" style="1" customWidth="1"/>
    <col min="6665" max="6665" width="13.85546875" style="1" customWidth="1"/>
    <col min="6666" max="6666" width="3.85546875" style="1" customWidth="1"/>
    <col min="6667" max="6667" width="12.42578125" style="1" customWidth="1"/>
    <col min="6668" max="6668" width="12.5703125" style="1" customWidth="1"/>
    <col min="6669" max="6669" width="5.7109375" style="1" customWidth="1"/>
    <col min="6670" max="6672" width="6.85546875" style="1"/>
    <col min="6673" max="6673" width="10.140625" style="1" bestFit="1" customWidth="1"/>
    <col min="6674" max="6906" width="6.85546875" style="1"/>
    <col min="6907" max="6907" width="28.5703125" style="1" customWidth="1"/>
    <col min="6908" max="6908" width="13.5703125" style="1" customWidth="1"/>
    <col min="6909" max="6909" width="11.7109375" style="1" customWidth="1"/>
    <col min="6910" max="6910" width="12" style="1" customWidth="1"/>
    <col min="6911" max="6911" width="11.42578125" style="1" customWidth="1"/>
    <col min="6912" max="6912" width="13.140625" style="1" customWidth="1"/>
    <col min="6913" max="6913" width="11.140625" style="1" customWidth="1"/>
    <col min="6914" max="6914" width="10.7109375" style="1" customWidth="1"/>
    <col min="6915" max="6915" width="9" style="1" customWidth="1"/>
    <col min="6916" max="6916" width="9.140625" style="1" customWidth="1"/>
    <col min="6917" max="6917" width="10" style="1" customWidth="1"/>
    <col min="6918" max="6918" width="1.7109375" style="1" customWidth="1"/>
    <col min="6919" max="6919" width="12.42578125" style="1" customWidth="1"/>
    <col min="6920" max="6920" width="2" style="1" customWidth="1"/>
    <col min="6921" max="6921" width="13.85546875" style="1" customWidth="1"/>
    <col min="6922" max="6922" width="3.85546875" style="1" customWidth="1"/>
    <col min="6923" max="6923" width="12.42578125" style="1" customWidth="1"/>
    <col min="6924" max="6924" width="12.5703125" style="1" customWidth="1"/>
    <col min="6925" max="6925" width="5.7109375" style="1" customWidth="1"/>
    <col min="6926" max="6928" width="6.85546875" style="1"/>
    <col min="6929" max="6929" width="10.140625" style="1" bestFit="1" customWidth="1"/>
    <col min="6930" max="7162" width="6.85546875" style="1"/>
    <col min="7163" max="7163" width="28.5703125" style="1" customWidth="1"/>
    <col min="7164" max="7164" width="13.5703125" style="1" customWidth="1"/>
    <col min="7165" max="7165" width="11.7109375" style="1" customWidth="1"/>
    <col min="7166" max="7166" width="12" style="1" customWidth="1"/>
    <col min="7167" max="7167" width="11.42578125" style="1" customWidth="1"/>
    <col min="7168" max="7168" width="13.140625" style="1" customWidth="1"/>
    <col min="7169" max="7169" width="11.140625" style="1" customWidth="1"/>
    <col min="7170" max="7170" width="10.7109375" style="1" customWidth="1"/>
    <col min="7171" max="7171" width="9" style="1" customWidth="1"/>
    <col min="7172" max="7172" width="9.140625" style="1" customWidth="1"/>
    <col min="7173" max="7173" width="10" style="1" customWidth="1"/>
    <col min="7174" max="7174" width="1.7109375" style="1" customWidth="1"/>
    <col min="7175" max="7175" width="12.42578125" style="1" customWidth="1"/>
    <col min="7176" max="7176" width="2" style="1" customWidth="1"/>
    <col min="7177" max="7177" width="13.85546875" style="1" customWidth="1"/>
    <col min="7178" max="7178" width="3.85546875" style="1" customWidth="1"/>
    <col min="7179" max="7179" width="12.42578125" style="1" customWidth="1"/>
    <col min="7180" max="7180" width="12.5703125" style="1" customWidth="1"/>
    <col min="7181" max="7181" width="5.7109375" style="1" customWidth="1"/>
    <col min="7182" max="7184" width="6.85546875" style="1"/>
    <col min="7185" max="7185" width="10.140625" style="1" bestFit="1" customWidth="1"/>
    <col min="7186" max="7418" width="6.85546875" style="1"/>
    <col min="7419" max="7419" width="28.5703125" style="1" customWidth="1"/>
    <col min="7420" max="7420" width="13.5703125" style="1" customWidth="1"/>
    <col min="7421" max="7421" width="11.7109375" style="1" customWidth="1"/>
    <col min="7422" max="7422" width="12" style="1" customWidth="1"/>
    <col min="7423" max="7423" width="11.42578125" style="1" customWidth="1"/>
    <col min="7424" max="7424" width="13.140625" style="1" customWidth="1"/>
    <col min="7425" max="7425" width="11.140625" style="1" customWidth="1"/>
    <col min="7426" max="7426" width="10.7109375" style="1" customWidth="1"/>
    <col min="7427" max="7427" width="9" style="1" customWidth="1"/>
    <col min="7428" max="7428" width="9.140625" style="1" customWidth="1"/>
    <col min="7429" max="7429" width="10" style="1" customWidth="1"/>
    <col min="7430" max="7430" width="1.7109375" style="1" customWidth="1"/>
    <col min="7431" max="7431" width="12.42578125" style="1" customWidth="1"/>
    <col min="7432" max="7432" width="2" style="1" customWidth="1"/>
    <col min="7433" max="7433" width="13.85546875" style="1" customWidth="1"/>
    <col min="7434" max="7434" width="3.85546875" style="1" customWidth="1"/>
    <col min="7435" max="7435" width="12.42578125" style="1" customWidth="1"/>
    <col min="7436" max="7436" width="12.5703125" style="1" customWidth="1"/>
    <col min="7437" max="7437" width="5.7109375" style="1" customWidth="1"/>
    <col min="7438" max="7440" width="6.85546875" style="1"/>
    <col min="7441" max="7441" width="10.140625" style="1" bestFit="1" customWidth="1"/>
    <col min="7442" max="7674" width="6.85546875" style="1"/>
    <col min="7675" max="7675" width="28.5703125" style="1" customWidth="1"/>
    <col min="7676" max="7676" width="13.5703125" style="1" customWidth="1"/>
    <col min="7677" max="7677" width="11.7109375" style="1" customWidth="1"/>
    <col min="7678" max="7678" width="12" style="1" customWidth="1"/>
    <col min="7679" max="7679" width="11.42578125" style="1" customWidth="1"/>
    <col min="7680" max="7680" width="13.140625" style="1" customWidth="1"/>
    <col min="7681" max="7681" width="11.140625" style="1" customWidth="1"/>
    <col min="7682" max="7682" width="10.7109375" style="1" customWidth="1"/>
    <col min="7683" max="7683" width="9" style="1" customWidth="1"/>
    <col min="7684" max="7684" width="9.140625" style="1" customWidth="1"/>
    <col min="7685" max="7685" width="10" style="1" customWidth="1"/>
    <col min="7686" max="7686" width="1.7109375" style="1" customWidth="1"/>
    <col min="7687" max="7687" width="12.42578125" style="1" customWidth="1"/>
    <col min="7688" max="7688" width="2" style="1" customWidth="1"/>
    <col min="7689" max="7689" width="13.85546875" style="1" customWidth="1"/>
    <col min="7690" max="7690" width="3.85546875" style="1" customWidth="1"/>
    <col min="7691" max="7691" width="12.42578125" style="1" customWidth="1"/>
    <col min="7692" max="7692" width="12.5703125" style="1" customWidth="1"/>
    <col min="7693" max="7693" width="5.7109375" style="1" customWidth="1"/>
    <col min="7694" max="7696" width="6.85546875" style="1"/>
    <col min="7697" max="7697" width="10.140625" style="1" bestFit="1" customWidth="1"/>
    <col min="7698" max="7930" width="6.85546875" style="1"/>
    <col min="7931" max="7931" width="28.5703125" style="1" customWidth="1"/>
    <col min="7932" max="7932" width="13.5703125" style="1" customWidth="1"/>
    <col min="7933" max="7933" width="11.7109375" style="1" customWidth="1"/>
    <col min="7934" max="7934" width="12" style="1" customWidth="1"/>
    <col min="7935" max="7935" width="11.42578125" style="1" customWidth="1"/>
    <col min="7936" max="7936" width="13.140625" style="1" customWidth="1"/>
    <col min="7937" max="7937" width="11.140625" style="1" customWidth="1"/>
    <col min="7938" max="7938" width="10.7109375" style="1" customWidth="1"/>
    <col min="7939" max="7939" width="9" style="1" customWidth="1"/>
    <col min="7940" max="7940" width="9.140625" style="1" customWidth="1"/>
    <col min="7941" max="7941" width="10" style="1" customWidth="1"/>
    <col min="7942" max="7942" width="1.7109375" style="1" customWidth="1"/>
    <col min="7943" max="7943" width="12.42578125" style="1" customWidth="1"/>
    <col min="7944" max="7944" width="2" style="1" customWidth="1"/>
    <col min="7945" max="7945" width="13.85546875" style="1" customWidth="1"/>
    <col min="7946" max="7946" width="3.85546875" style="1" customWidth="1"/>
    <col min="7947" max="7947" width="12.42578125" style="1" customWidth="1"/>
    <col min="7948" max="7948" width="12.5703125" style="1" customWidth="1"/>
    <col min="7949" max="7949" width="5.7109375" style="1" customWidth="1"/>
    <col min="7950" max="7952" width="6.85546875" style="1"/>
    <col min="7953" max="7953" width="10.140625" style="1" bestFit="1" customWidth="1"/>
    <col min="7954" max="8186" width="6.85546875" style="1"/>
    <col min="8187" max="8187" width="28.5703125" style="1" customWidth="1"/>
    <col min="8188" max="8188" width="13.5703125" style="1" customWidth="1"/>
    <col min="8189" max="8189" width="11.7109375" style="1" customWidth="1"/>
    <col min="8190" max="8190" width="12" style="1" customWidth="1"/>
    <col min="8191" max="8191" width="11.42578125" style="1" customWidth="1"/>
    <col min="8192" max="8192" width="13.140625" style="1" customWidth="1"/>
    <col min="8193" max="8193" width="11.140625" style="1" customWidth="1"/>
    <col min="8194" max="8194" width="10.7109375" style="1" customWidth="1"/>
    <col min="8195" max="8195" width="9" style="1" customWidth="1"/>
    <col min="8196" max="8196" width="9.140625" style="1" customWidth="1"/>
    <col min="8197" max="8197" width="10" style="1" customWidth="1"/>
    <col min="8198" max="8198" width="1.7109375" style="1" customWidth="1"/>
    <col min="8199" max="8199" width="12.42578125" style="1" customWidth="1"/>
    <col min="8200" max="8200" width="2" style="1" customWidth="1"/>
    <col min="8201" max="8201" width="13.85546875" style="1" customWidth="1"/>
    <col min="8202" max="8202" width="3.85546875" style="1" customWidth="1"/>
    <col min="8203" max="8203" width="12.42578125" style="1" customWidth="1"/>
    <col min="8204" max="8204" width="12.5703125" style="1" customWidth="1"/>
    <col min="8205" max="8205" width="5.7109375" style="1" customWidth="1"/>
    <col min="8206" max="8208" width="6.85546875" style="1"/>
    <col min="8209" max="8209" width="10.140625" style="1" bestFit="1" customWidth="1"/>
    <col min="8210" max="8442" width="6.85546875" style="1"/>
    <col min="8443" max="8443" width="28.5703125" style="1" customWidth="1"/>
    <col min="8444" max="8444" width="13.5703125" style="1" customWidth="1"/>
    <col min="8445" max="8445" width="11.7109375" style="1" customWidth="1"/>
    <col min="8446" max="8446" width="12" style="1" customWidth="1"/>
    <col min="8447" max="8447" width="11.42578125" style="1" customWidth="1"/>
    <col min="8448" max="8448" width="13.140625" style="1" customWidth="1"/>
    <col min="8449" max="8449" width="11.140625" style="1" customWidth="1"/>
    <col min="8450" max="8450" width="10.7109375" style="1" customWidth="1"/>
    <col min="8451" max="8451" width="9" style="1" customWidth="1"/>
    <col min="8452" max="8452" width="9.140625" style="1" customWidth="1"/>
    <col min="8453" max="8453" width="10" style="1" customWidth="1"/>
    <col min="8454" max="8454" width="1.7109375" style="1" customWidth="1"/>
    <col min="8455" max="8455" width="12.42578125" style="1" customWidth="1"/>
    <col min="8456" max="8456" width="2" style="1" customWidth="1"/>
    <col min="8457" max="8457" width="13.85546875" style="1" customWidth="1"/>
    <col min="8458" max="8458" width="3.85546875" style="1" customWidth="1"/>
    <col min="8459" max="8459" width="12.42578125" style="1" customWidth="1"/>
    <col min="8460" max="8460" width="12.5703125" style="1" customWidth="1"/>
    <col min="8461" max="8461" width="5.7109375" style="1" customWidth="1"/>
    <col min="8462" max="8464" width="6.85546875" style="1"/>
    <col min="8465" max="8465" width="10.140625" style="1" bestFit="1" customWidth="1"/>
    <col min="8466" max="8698" width="6.85546875" style="1"/>
    <col min="8699" max="8699" width="28.5703125" style="1" customWidth="1"/>
    <col min="8700" max="8700" width="13.5703125" style="1" customWidth="1"/>
    <col min="8701" max="8701" width="11.7109375" style="1" customWidth="1"/>
    <col min="8702" max="8702" width="12" style="1" customWidth="1"/>
    <col min="8703" max="8703" width="11.42578125" style="1" customWidth="1"/>
    <col min="8704" max="8704" width="13.140625" style="1" customWidth="1"/>
    <col min="8705" max="8705" width="11.140625" style="1" customWidth="1"/>
    <col min="8706" max="8706" width="10.7109375" style="1" customWidth="1"/>
    <col min="8707" max="8707" width="9" style="1" customWidth="1"/>
    <col min="8708" max="8708" width="9.140625" style="1" customWidth="1"/>
    <col min="8709" max="8709" width="10" style="1" customWidth="1"/>
    <col min="8710" max="8710" width="1.7109375" style="1" customWidth="1"/>
    <col min="8711" max="8711" width="12.42578125" style="1" customWidth="1"/>
    <col min="8712" max="8712" width="2" style="1" customWidth="1"/>
    <col min="8713" max="8713" width="13.85546875" style="1" customWidth="1"/>
    <col min="8714" max="8714" width="3.85546875" style="1" customWidth="1"/>
    <col min="8715" max="8715" width="12.42578125" style="1" customWidth="1"/>
    <col min="8716" max="8716" width="12.5703125" style="1" customWidth="1"/>
    <col min="8717" max="8717" width="5.7109375" style="1" customWidth="1"/>
    <col min="8718" max="8720" width="6.85546875" style="1"/>
    <col min="8721" max="8721" width="10.140625" style="1" bestFit="1" customWidth="1"/>
    <col min="8722" max="8954" width="6.85546875" style="1"/>
    <col min="8955" max="8955" width="28.5703125" style="1" customWidth="1"/>
    <col min="8956" max="8956" width="13.5703125" style="1" customWidth="1"/>
    <col min="8957" max="8957" width="11.7109375" style="1" customWidth="1"/>
    <col min="8958" max="8958" width="12" style="1" customWidth="1"/>
    <col min="8959" max="8959" width="11.42578125" style="1" customWidth="1"/>
    <col min="8960" max="8960" width="13.140625" style="1" customWidth="1"/>
    <col min="8961" max="8961" width="11.140625" style="1" customWidth="1"/>
    <col min="8962" max="8962" width="10.7109375" style="1" customWidth="1"/>
    <col min="8963" max="8963" width="9" style="1" customWidth="1"/>
    <col min="8964" max="8964" width="9.140625" style="1" customWidth="1"/>
    <col min="8965" max="8965" width="10" style="1" customWidth="1"/>
    <col min="8966" max="8966" width="1.7109375" style="1" customWidth="1"/>
    <col min="8967" max="8967" width="12.42578125" style="1" customWidth="1"/>
    <col min="8968" max="8968" width="2" style="1" customWidth="1"/>
    <col min="8969" max="8969" width="13.85546875" style="1" customWidth="1"/>
    <col min="8970" max="8970" width="3.85546875" style="1" customWidth="1"/>
    <col min="8971" max="8971" width="12.42578125" style="1" customWidth="1"/>
    <col min="8972" max="8972" width="12.5703125" style="1" customWidth="1"/>
    <col min="8973" max="8973" width="5.7109375" style="1" customWidth="1"/>
    <col min="8974" max="8976" width="6.85546875" style="1"/>
    <col min="8977" max="8977" width="10.140625" style="1" bestFit="1" customWidth="1"/>
    <col min="8978" max="9210" width="6.85546875" style="1"/>
    <col min="9211" max="9211" width="28.5703125" style="1" customWidth="1"/>
    <col min="9212" max="9212" width="13.5703125" style="1" customWidth="1"/>
    <col min="9213" max="9213" width="11.7109375" style="1" customWidth="1"/>
    <col min="9214" max="9214" width="12" style="1" customWidth="1"/>
    <col min="9215" max="9215" width="11.42578125" style="1" customWidth="1"/>
    <col min="9216" max="9216" width="13.140625" style="1" customWidth="1"/>
    <col min="9217" max="9217" width="11.140625" style="1" customWidth="1"/>
    <col min="9218" max="9218" width="10.7109375" style="1" customWidth="1"/>
    <col min="9219" max="9219" width="9" style="1" customWidth="1"/>
    <col min="9220" max="9220" width="9.140625" style="1" customWidth="1"/>
    <col min="9221" max="9221" width="10" style="1" customWidth="1"/>
    <col min="9222" max="9222" width="1.7109375" style="1" customWidth="1"/>
    <col min="9223" max="9223" width="12.42578125" style="1" customWidth="1"/>
    <col min="9224" max="9224" width="2" style="1" customWidth="1"/>
    <col min="9225" max="9225" width="13.85546875" style="1" customWidth="1"/>
    <col min="9226" max="9226" width="3.85546875" style="1" customWidth="1"/>
    <col min="9227" max="9227" width="12.42578125" style="1" customWidth="1"/>
    <col min="9228" max="9228" width="12.5703125" style="1" customWidth="1"/>
    <col min="9229" max="9229" width="5.7109375" style="1" customWidth="1"/>
    <col min="9230" max="9232" width="6.85546875" style="1"/>
    <col min="9233" max="9233" width="10.140625" style="1" bestFit="1" customWidth="1"/>
    <col min="9234" max="9466" width="6.85546875" style="1"/>
    <col min="9467" max="9467" width="28.5703125" style="1" customWidth="1"/>
    <col min="9468" max="9468" width="13.5703125" style="1" customWidth="1"/>
    <col min="9469" max="9469" width="11.7109375" style="1" customWidth="1"/>
    <col min="9470" max="9470" width="12" style="1" customWidth="1"/>
    <col min="9471" max="9471" width="11.42578125" style="1" customWidth="1"/>
    <col min="9472" max="9472" width="13.140625" style="1" customWidth="1"/>
    <col min="9473" max="9473" width="11.140625" style="1" customWidth="1"/>
    <col min="9474" max="9474" width="10.7109375" style="1" customWidth="1"/>
    <col min="9475" max="9475" width="9" style="1" customWidth="1"/>
    <col min="9476" max="9476" width="9.140625" style="1" customWidth="1"/>
    <col min="9477" max="9477" width="10" style="1" customWidth="1"/>
    <col min="9478" max="9478" width="1.7109375" style="1" customWidth="1"/>
    <col min="9479" max="9479" width="12.42578125" style="1" customWidth="1"/>
    <col min="9480" max="9480" width="2" style="1" customWidth="1"/>
    <col min="9481" max="9481" width="13.85546875" style="1" customWidth="1"/>
    <col min="9482" max="9482" width="3.85546875" style="1" customWidth="1"/>
    <col min="9483" max="9483" width="12.42578125" style="1" customWidth="1"/>
    <col min="9484" max="9484" width="12.5703125" style="1" customWidth="1"/>
    <col min="9485" max="9485" width="5.7109375" style="1" customWidth="1"/>
    <col min="9486" max="9488" width="6.85546875" style="1"/>
    <col min="9489" max="9489" width="10.140625" style="1" bestFit="1" customWidth="1"/>
    <col min="9490" max="9722" width="6.85546875" style="1"/>
    <col min="9723" max="9723" width="28.5703125" style="1" customWidth="1"/>
    <col min="9724" max="9724" width="13.5703125" style="1" customWidth="1"/>
    <col min="9725" max="9725" width="11.7109375" style="1" customWidth="1"/>
    <col min="9726" max="9726" width="12" style="1" customWidth="1"/>
    <col min="9727" max="9727" width="11.42578125" style="1" customWidth="1"/>
    <col min="9728" max="9728" width="13.140625" style="1" customWidth="1"/>
    <col min="9729" max="9729" width="11.140625" style="1" customWidth="1"/>
    <col min="9730" max="9730" width="10.7109375" style="1" customWidth="1"/>
    <col min="9731" max="9731" width="9" style="1" customWidth="1"/>
    <col min="9732" max="9732" width="9.140625" style="1" customWidth="1"/>
    <col min="9733" max="9733" width="10" style="1" customWidth="1"/>
    <col min="9734" max="9734" width="1.7109375" style="1" customWidth="1"/>
    <col min="9735" max="9735" width="12.42578125" style="1" customWidth="1"/>
    <col min="9736" max="9736" width="2" style="1" customWidth="1"/>
    <col min="9737" max="9737" width="13.85546875" style="1" customWidth="1"/>
    <col min="9738" max="9738" width="3.85546875" style="1" customWidth="1"/>
    <col min="9739" max="9739" width="12.42578125" style="1" customWidth="1"/>
    <col min="9740" max="9740" width="12.5703125" style="1" customWidth="1"/>
    <col min="9741" max="9741" width="5.7109375" style="1" customWidth="1"/>
    <col min="9742" max="9744" width="6.85546875" style="1"/>
    <col min="9745" max="9745" width="10.140625" style="1" bestFit="1" customWidth="1"/>
    <col min="9746" max="9978" width="6.85546875" style="1"/>
    <col min="9979" max="9979" width="28.5703125" style="1" customWidth="1"/>
    <col min="9980" max="9980" width="13.5703125" style="1" customWidth="1"/>
    <col min="9981" max="9981" width="11.7109375" style="1" customWidth="1"/>
    <col min="9982" max="9982" width="12" style="1" customWidth="1"/>
    <col min="9983" max="9983" width="11.42578125" style="1" customWidth="1"/>
    <col min="9984" max="9984" width="13.140625" style="1" customWidth="1"/>
    <col min="9985" max="9985" width="11.140625" style="1" customWidth="1"/>
    <col min="9986" max="9986" width="10.7109375" style="1" customWidth="1"/>
    <col min="9987" max="9987" width="9" style="1" customWidth="1"/>
    <col min="9988" max="9988" width="9.140625" style="1" customWidth="1"/>
    <col min="9989" max="9989" width="10" style="1" customWidth="1"/>
    <col min="9990" max="9990" width="1.7109375" style="1" customWidth="1"/>
    <col min="9991" max="9991" width="12.42578125" style="1" customWidth="1"/>
    <col min="9992" max="9992" width="2" style="1" customWidth="1"/>
    <col min="9993" max="9993" width="13.85546875" style="1" customWidth="1"/>
    <col min="9994" max="9994" width="3.85546875" style="1" customWidth="1"/>
    <col min="9995" max="9995" width="12.42578125" style="1" customWidth="1"/>
    <col min="9996" max="9996" width="12.5703125" style="1" customWidth="1"/>
    <col min="9997" max="9997" width="5.7109375" style="1" customWidth="1"/>
    <col min="9998" max="10000" width="6.85546875" style="1"/>
    <col min="10001" max="10001" width="10.140625" style="1" bestFit="1" customWidth="1"/>
    <col min="10002" max="10234" width="6.85546875" style="1"/>
    <col min="10235" max="10235" width="28.5703125" style="1" customWidth="1"/>
    <col min="10236" max="10236" width="13.5703125" style="1" customWidth="1"/>
    <col min="10237" max="10237" width="11.7109375" style="1" customWidth="1"/>
    <col min="10238" max="10238" width="12" style="1" customWidth="1"/>
    <col min="10239" max="10239" width="11.42578125" style="1" customWidth="1"/>
    <col min="10240" max="10240" width="13.140625" style="1" customWidth="1"/>
    <col min="10241" max="10241" width="11.140625" style="1" customWidth="1"/>
    <col min="10242" max="10242" width="10.7109375" style="1" customWidth="1"/>
    <col min="10243" max="10243" width="9" style="1" customWidth="1"/>
    <col min="10244" max="10244" width="9.140625" style="1" customWidth="1"/>
    <col min="10245" max="10245" width="10" style="1" customWidth="1"/>
    <col min="10246" max="10246" width="1.7109375" style="1" customWidth="1"/>
    <col min="10247" max="10247" width="12.42578125" style="1" customWidth="1"/>
    <col min="10248" max="10248" width="2" style="1" customWidth="1"/>
    <col min="10249" max="10249" width="13.85546875" style="1" customWidth="1"/>
    <col min="10250" max="10250" width="3.85546875" style="1" customWidth="1"/>
    <col min="10251" max="10251" width="12.42578125" style="1" customWidth="1"/>
    <col min="10252" max="10252" width="12.5703125" style="1" customWidth="1"/>
    <col min="10253" max="10253" width="5.7109375" style="1" customWidth="1"/>
    <col min="10254" max="10256" width="6.85546875" style="1"/>
    <col min="10257" max="10257" width="10.140625" style="1" bestFit="1" customWidth="1"/>
    <col min="10258" max="10490" width="6.85546875" style="1"/>
    <col min="10491" max="10491" width="28.5703125" style="1" customWidth="1"/>
    <col min="10492" max="10492" width="13.5703125" style="1" customWidth="1"/>
    <col min="10493" max="10493" width="11.7109375" style="1" customWidth="1"/>
    <col min="10494" max="10494" width="12" style="1" customWidth="1"/>
    <col min="10495" max="10495" width="11.42578125" style="1" customWidth="1"/>
    <col min="10496" max="10496" width="13.140625" style="1" customWidth="1"/>
    <col min="10497" max="10497" width="11.140625" style="1" customWidth="1"/>
    <col min="10498" max="10498" width="10.7109375" style="1" customWidth="1"/>
    <col min="10499" max="10499" width="9" style="1" customWidth="1"/>
    <col min="10500" max="10500" width="9.140625" style="1" customWidth="1"/>
    <col min="10501" max="10501" width="10" style="1" customWidth="1"/>
    <col min="10502" max="10502" width="1.7109375" style="1" customWidth="1"/>
    <col min="10503" max="10503" width="12.42578125" style="1" customWidth="1"/>
    <col min="10504" max="10504" width="2" style="1" customWidth="1"/>
    <col min="10505" max="10505" width="13.85546875" style="1" customWidth="1"/>
    <col min="10506" max="10506" width="3.85546875" style="1" customWidth="1"/>
    <col min="10507" max="10507" width="12.42578125" style="1" customWidth="1"/>
    <col min="10508" max="10508" width="12.5703125" style="1" customWidth="1"/>
    <col min="10509" max="10509" width="5.7109375" style="1" customWidth="1"/>
    <col min="10510" max="10512" width="6.85546875" style="1"/>
    <col min="10513" max="10513" width="10.140625" style="1" bestFit="1" customWidth="1"/>
    <col min="10514" max="10746" width="6.85546875" style="1"/>
    <col min="10747" max="10747" width="28.5703125" style="1" customWidth="1"/>
    <col min="10748" max="10748" width="13.5703125" style="1" customWidth="1"/>
    <col min="10749" max="10749" width="11.7109375" style="1" customWidth="1"/>
    <col min="10750" max="10750" width="12" style="1" customWidth="1"/>
    <col min="10751" max="10751" width="11.42578125" style="1" customWidth="1"/>
    <col min="10752" max="10752" width="13.140625" style="1" customWidth="1"/>
    <col min="10753" max="10753" width="11.140625" style="1" customWidth="1"/>
    <col min="10754" max="10754" width="10.7109375" style="1" customWidth="1"/>
    <col min="10755" max="10755" width="9" style="1" customWidth="1"/>
    <col min="10756" max="10756" width="9.140625" style="1" customWidth="1"/>
    <col min="10757" max="10757" width="10" style="1" customWidth="1"/>
    <col min="10758" max="10758" width="1.7109375" style="1" customWidth="1"/>
    <col min="10759" max="10759" width="12.42578125" style="1" customWidth="1"/>
    <col min="10760" max="10760" width="2" style="1" customWidth="1"/>
    <col min="10761" max="10761" width="13.85546875" style="1" customWidth="1"/>
    <col min="10762" max="10762" width="3.85546875" style="1" customWidth="1"/>
    <col min="10763" max="10763" width="12.42578125" style="1" customWidth="1"/>
    <col min="10764" max="10764" width="12.5703125" style="1" customWidth="1"/>
    <col min="10765" max="10765" width="5.7109375" style="1" customWidth="1"/>
    <col min="10766" max="10768" width="6.85546875" style="1"/>
    <col min="10769" max="10769" width="10.140625" style="1" bestFit="1" customWidth="1"/>
    <col min="10770" max="11002" width="6.85546875" style="1"/>
    <col min="11003" max="11003" width="28.5703125" style="1" customWidth="1"/>
    <col min="11004" max="11004" width="13.5703125" style="1" customWidth="1"/>
    <col min="11005" max="11005" width="11.7109375" style="1" customWidth="1"/>
    <col min="11006" max="11006" width="12" style="1" customWidth="1"/>
    <col min="11007" max="11007" width="11.42578125" style="1" customWidth="1"/>
    <col min="11008" max="11008" width="13.140625" style="1" customWidth="1"/>
    <col min="11009" max="11009" width="11.140625" style="1" customWidth="1"/>
    <col min="11010" max="11010" width="10.7109375" style="1" customWidth="1"/>
    <col min="11011" max="11011" width="9" style="1" customWidth="1"/>
    <col min="11012" max="11012" width="9.140625" style="1" customWidth="1"/>
    <col min="11013" max="11013" width="10" style="1" customWidth="1"/>
    <col min="11014" max="11014" width="1.7109375" style="1" customWidth="1"/>
    <col min="11015" max="11015" width="12.42578125" style="1" customWidth="1"/>
    <col min="11016" max="11016" width="2" style="1" customWidth="1"/>
    <col min="11017" max="11017" width="13.85546875" style="1" customWidth="1"/>
    <col min="11018" max="11018" width="3.85546875" style="1" customWidth="1"/>
    <col min="11019" max="11019" width="12.42578125" style="1" customWidth="1"/>
    <col min="11020" max="11020" width="12.5703125" style="1" customWidth="1"/>
    <col min="11021" max="11021" width="5.7109375" style="1" customWidth="1"/>
    <col min="11022" max="11024" width="6.85546875" style="1"/>
    <col min="11025" max="11025" width="10.140625" style="1" bestFit="1" customWidth="1"/>
    <col min="11026" max="11258" width="6.85546875" style="1"/>
    <col min="11259" max="11259" width="28.5703125" style="1" customWidth="1"/>
    <col min="11260" max="11260" width="13.5703125" style="1" customWidth="1"/>
    <col min="11261" max="11261" width="11.7109375" style="1" customWidth="1"/>
    <col min="11262" max="11262" width="12" style="1" customWidth="1"/>
    <col min="11263" max="11263" width="11.42578125" style="1" customWidth="1"/>
    <col min="11264" max="11264" width="13.140625" style="1" customWidth="1"/>
    <col min="11265" max="11265" width="11.140625" style="1" customWidth="1"/>
    <col min="11266" max="11266" width="10.7109375" style="1" customWidth="1"/>
    <col min="11267" max="11267" width="9" style="1" customWidth="1"/>
    <col min="11268" max="11268" width="9.140625" style="1" customWidth="1"/>
    <col min="11269" max="11269" width="10" style="1" customWidth="1"/>
    <col min="11270" max="11270" width="1.7109375" style="1" customWidth="1"/>
    <col min="11271" max="11271" width="12.42578125" style="1" customWidth="1"/>
    <col min="11272" max="11272" width="2" style="1" customWidth="1"/>
    <col min="11273" max="11273" width="13.85546875" style="1" customWidth="1"/>
    <col min="11274" max="11274" width="3.85546875" style="1" customWidth="1"/>
    <col min="11275" max="11275" width="12.42578125" style="1" customWidth="1"/>
    <col min="11276" max="11276" width="12.5703125" style="1" customWidth="1"/>
    <col min="11277" max="11277" width="5.7109375" style="1" customWidth="1"/>
    <col min="11278" max="11280" width="6.85546875" style="1"/>
    <col min="11281" max="11281" width="10.140625" style="1" bestFit="1" customWidth="1"/>
    <col min="11282" max="11514" width="6.85546875" style="1"/>
    <col min="11515" max="11515" width="28.5703125" style="1" customWidth="1"/>
    <col min="11516" max="11516" width="13.5703125" style="1" customWidth="1"/>
    <col min="11517" max="11517" width="11.7109375" style="1" customWidth="1"/>
    <col min="11518" max="11518" width="12" style="1" customWidth="1"/>
    <col min="11519" max="11519" width="11.42578125" style="1" customWidth="1"/>
    <col min="11520" max="11520" width="13.140625" style="1" customWidth="1"/>
    <col min="11521" max="11521" width="11.140625" style="1" customWidth="1"/>
    <col min="11522" max="11522" width="10.7109375" style="1" customWidth="1"/>
    <col min="11523" max="11523" width="9" style="1" customWidth="1"/>
    <col min="11524" max="11524" width="9.140625" style="1" customWidth="1"/>
    <col min="11525" max="11525" width="10" style="1" customWidth="1"/>
    <col min="11526" max="11526" width="1.7109375" style="1" customWidth="1"/>
    <col min="11527" max="11527" width="12.42578125" style="1" customWidth="1"/>
    <col min="11528" max="11528" width="2" style="1" customWidth="1"/>
    <col min="11529" max="11529" width="13.85546875" style="1" customWidth="1"/>
    <col min="11530" max="11530" width="3.85546875" style="1" customWidth="1"/>
    <col min="11531" max="11531" width="12.42578125" style="1" customWidth="1"/>
    <col min="11532" max="11532" width="12.5703125" style="1" customWidth="1"/>
    <col min="11533" max="11533" width="5.7109375" style="1" customWidth="1"/>
    <col min="11534" max="11536" width="6.85546875" style="1"/>
    <col min="11537" max="11537" width="10.140625" style="1" bestFit="1" customWidth="1"/>
    <col min="11538" max="11770" width="6.85546875" style="1"/>
    <col min="11771" max="11771" width="28.5703125" style="1" customWidth="1"/>
    <col min="11772" max="11772" width="13.5703125" style="1" customWidth="1"/>
    <col min="11773" max="11773" width="11.7109375" style="1" customWidth="1"/>
    <col min="11774" max="11774" width="12" style="1" customWidth="1"/>
    <col min="11775" max="11775" width="11.42578125" style="1" customWidth="1"/>
    <col min="11776" max="11776" width="13.140625" style="1" customWidth="1"/>
    <col min="11777" max="11777" width="11.140625" style="1" customWidth="1"/>
    <col min="11778" max="11778" width="10.7109375" style="1" customWidth="1"/>
    <col min="11779" max="11779" width="9" style="1" customWidth="1"/>
    <col min="11780" max="11780" width="9.140625" style="1" customWidth="1"/>
    <col min="11781" max="11781" width="10" style="1" customWidth="1"/>
    <col min="11782" max="11782" width="1.7109375" style="1" customWidth="1"/>
    <col min="11783" max="11783" width="12.42578125" style="1" customWidth="1"/>
    <col min="11784" max="11784" width="2" style="1" customWidth="1"/>
    <col min="11785" max="11785" width="13.85546875" style="1" customWidth="1"/>
    <col min="11786" max="11786" width="3.85546875" style="1" customWidth="1"/>
    <col min="11787" max="11787" width="12.42578125" style="1" customWidth="1"/>
    <col min="11788" max="11788" width="12.5703125" style="1" customWidth="1"/>
    <col min="11789" max="11789" width="5.7109375" style="1" customWidth="1"/>
    <col min="11790" max="11792" width="6.85546875" style="1"/>
    <col min="11793" max="11793" width="10.140625" style="1" bestFit="1" customWidth="1"/>
    <col min="11794" max="12026" width="6.85546875" style="1"/>
    <col min="12027" max="12027" width="28.5703125" style="1" customWidth="1"/>
    <col min="12028" max="12028" width="13.5703125" style="1" customWidth="1"/>
    <col min="12029" max="12029" width="11.7109375" style="1" customWidth="1"/>
    <col min="12030" max="12030" width="12" style="1" customWidth="1"/>
    <col min="12031" max="12031" width="11.42578125" style="1" customWidth="1"/>
    <col min="12032" max="12032" width="13.140625" style="1" customWidth="1"/>
    <col min="12033" max="12033" width="11.140625" style="1" customWidth="1"/>
    <col min="12034" max="12034" width="10.7109375" style="1" customWidth="1"/>
    <col min="12035" max="12035" width="9" style="1" customWidth="1"/>
    <col min="12036" max="12036" width="9.140625" style="1" customWidth="1"/>
    <col min="12037" max="12037" width="10" style="1" customWidth="1"/>
    <col min="12038" max="12038" width="1.7109375" style="1" customWidth="1"/>
    <col min="12039" max="12039" width="12.42578125" style="1" customWidth="1"/>
    <col min="12040" max="12040" width="2" style="1" customWidth="1"/>
    <col min="12041" max="12041" width="13.85546875" style="1" customWidth="1"/>
    <col min="12042" max="12042" width="3.85546875" style="1" customWidth="1"/>
    <col min="12043" max="12043" width="12.42578125" style="1" customWidth="1"/>
    <col min="12044" max="12044" width="12.5703125" style="1" customWidth="1"/>
    <col min="12045" max="12045" width="5.7109375" style="1" customWidth="1"/>
    <col min="12046" max="12048" width="6.85546875" style="1"/>
    <col min="12049" max="12049" width="10.140625" style="1" bestFit="1" customWidth="1"/>
    <col min="12050" max="12282" width="6.85546875" style="1"/>
    <col min="12283" max="12283" width="28.5703125" style="1" customWidth="1"/>
    <col min="12284" max="12284" width="13.5703125" style="1" customWidth="1"/>
    <col min="12285" max="12285" width="11.7109375" style="1" customWidth="1"/>
    <col min="12286" max="12286" width="12" style="1" customWidth="1"/>
    <col min="12287" max="12287" width="11.42578125" style="1" customWidth="1"/>
    <col min="12288" max="12288" width="13.140625" style="1" customWidth="1"/>
    <col min="12289" max="12289" width="11.140625" style="1" customWidth="1"/>
    <col min="12290" max="12290" width="10.7109375" style="1" customWidth="1"/>
    <col min="12291" max="12291" width="9" style="1" customWidth="1"/>
    <col min="12292" max="12292" width="9.140625" style="1" customWidth="1"/>
    <col min="12293" max="12293" width="10" style="1" customWidth="1"/>
    <col min="12294" max="12294" width="1.7109375" style="1" customWidth="1"/>
    <col min="12295" max="12295" width="12.42578125" style="1" customWidth="1"/>
    <col min="12296" max="12296" width="2" style="1" customWidth="1"/>
    <col min="12297" max="12297" width="13.85546875" style="1" customWidth="1"/>
    <col min="12298" max="12298" width="3.85546875" style="1" customWidth="1"/>
    <col min="12299" max="12299" width="12.42578125" style="1" customWidth="1"/>
    <col min="12300" max="12300" width="12.5703125" style="1" customWidth="1"/>
    <col min="12301" max="12301" width="5.7109375" style="1" customWidth="1"/>
    <col min="12302" max="12304" width="6.85546875" style="1"/>
    <col min="12305" max="12305" width="10.140625" style="1" bestFit="1" customWidth="1"/>
    <col min="12306" max="12538" width="6.85546875" style="1"/>
    <col min="12539" max="12539" width="28.5703125" style="1" customWidth="1"/>
    <col min="12540" max="12540" width="13.5703125" style="1" customWidth="1"/>
    <col min="12541" max="12541" width="11.7109375" style="1" customWidth="1"/>
    <col min="12542" max="12542" width="12" style="1" customWidth="1"/>
    <col min="12543" max="12543" width="11.42578125" style="1" customWidth="1"/>
    <col min="12544" max="12544" width="13.140625" style="1" customWidth="1"/>
    <col min="12545" max="12545" width="11.140625" style="1" customWidth="1"/>
    <col min="12546" max="12546" width="10.7109375" style="1" customWidth="1"/>
    <col min="12547" max="12547" width="9" style="1" customWidth="1"/>
    <col min="12548" max="12548" width="9.140625" style="1" customWidth="1"/>
    <col min="12549" max="12549" width="10" style="1" customWidth="1"/>
    <col min="12550" max="12550" width="1.7109375" style="1" customWidth="1"/>
    <col min="12551" max="12551" width="12.42578125" style="1" customWidth="1"/>
    <col min="12552" max="12552" width="2" style="1" customWidth="1"/>
    <col min="12553" max="12553" width="13.85546875" style="1" customWidth="1"/>
    <col min="12554" max="12554" width="3.85546875" style="1" customWidth="1"/>
    <col min="12555" max="12555" width="12.42578125" style="1" customWidth="1"/>
    <col min="12556" max="12556" width="12.5703125" style="1" customWidth="1"/>
    <col min="12557" max="12557" width="5.7109375" style="1" customWidth="1"/>
    <col min="12558" max="12560" width="6.85546875" style="1"/>
    <col min="12561" max="12561" width="10.140625" style="1" bestFit="1" customWidth="1"/>
    <col min="12562" max="12794" width="6.85546875" style="1"/>
    <col min="12795" max="12795" width="28.5703125" style="1" customWidth="1"/>
    <col min="12796" max="12796" width="13.5703125" style="1" customWidth="1"/>
    <col min="12797" max="12797" width="11.7109375" style="1" customWidth="1"/>
    <col min="12798" max="12798" width="12" style="1" customWidth="1"/>
    <col min="12799" max="12799" width="11.42578125" style="1" customWidth="1"/>
    <col min="12800" max="12800" width="13.140625" style="1" customWidth="1"/>
    <col min="12801" max="12801" width="11.140625" style="1" customWidth="1"/>
    <col min="12802" max="12802" width="10.7109375" style="1" customWidth="1"/>
    <col min="12803" max="12803" width="9" style="1" customWidth="1"/>
    <col min="12804" max="12804" width="9.140625" style="1" customWidth="1"/>
    <col min="12805" max="12805" width="10" style="1" customWidth="1"/>
    <col min="12806" max="12806" width="1.7109375" style="1" customWidth="1"/>
    <col min="12807" max="12807" width="12.42578125" style="1" customWidth="1"/>
    <col min="12808" max="12808" width="2" style="1" customWidth="1"/>
    <col min="12809" max="12809" width="13.85546875" style="1" customWidth="1"/>
    <col min="12810" max="12810" width="3.85546875" style="1" customWidth="1"/>
    <col min="12811" max="12811" width="12.42578125" style="1" customWidth="1"/>
    <col min="12812" max="12812" width="12.5703125" style="1" customWidth="1"/>
    <col min="12813" max="12813" width="5.7109375" style="1" customWidth="1"/>
    <col min="12814" max="12816" width="6.85546875" style="1"/>
    <col min="12817" max="12817" width="10.140625" style="1" bestFit="1" customWidth="1"/>
    <col min="12818" max="13050" width="6.85546875" style="1"/>
    <col min="13051" max="13051" width="28.5703125" style="1" customWidth="1"/>
    <col min="13052" max="13052" width="13.5703125" style="1" customWidth="1"/>
    <col min="13053" max="13053" width="11.7109375" style="1" customWidth="1"/>
    <col min="13054" max="13054" width="12" style="1" customWidth="1"/>
    <col min="13055" max="13055" width="11.42578125" style="1" customWidth="1"/>
    <col min="13056" max="13056" width="13.140625" style="1" customWidth="1"/>
    <col min="13057" max="13057" width="11.140625" style="1" customWidth="1"/>
    <col min="13058" max="13058" width="10.7109375" style="1" customWidth="1"/>
    <col min="13059" max="13059" width="9" style="1" customWidth="1"/>
    <col min="13060" max="13060" width="9.140625" style="1" customWidth="1"/>
    <col min="13061" max="13061" width="10" style="1" customWidth="1"/>
    <col min="13062" max="13062" width="1.7109375" style="1" customWidth="1"/>
    <col min="13063" max="13063" width="12.42578125" style="1" customWidth="1"/>
    <col min="13064" max="13064" width="2" style="1" customWidth="1"/>
    <col min="13065" max="13065" width="13.85546875" style="1" customWidth="1"/>
    <col min="13066" max="13066" width="3.85546875" style="1" customWidth="1"/>
    <col min="13067" max="13067" width="12.42578125" style="1" customWidth="1"/>
    <col min="13068" max="13068" width="12.5703125" style="1" customWidth="1"/>
    <col min="13069" max="13069" width="5.7109375" style="1" customWidth="1"/>
    <col min="13070" max="13072" width="6.85546875" style="1"/>
    <col min="13073" max="13073" width="10.140625" style="1" bestFit="1" customWidth="1"/>
    <col min="13074" max="13306" width="6.85546875" style="1"/>
    <col min="13307" max="13307" width="28.5703125" style="1" customWidth="1"/>
    <col min="13308" max="13308" width="13.5703125" style="1" customWidth="1"/>
    <col min="13309" max="13309" width="11.7109375" style="1" customWidth="1"/>
    <col min="13310" max="13310" width="12" style="1" customWidth="1"/>
    <col min="13311" max="13311" width="11.42578125" style="1" customWidth="1"/>
    <col min="13312" max="13312" width="13.140625" style="1" customWidth="1"/>
    <col min="13313" max="13313" width="11.140625" style="1" customWidth="1"/>
    <col min="13314" max="13314" width="10.7109375" style="1" customWidth="1"/>
    <col min="13315" max="13315" width="9" style="1" customWidth="1"/>
    <col min="13316" max="13316" width="9.140625" style="1" customWidth="1"/>
    <col min="13317" max="13317" width="10" style="1" customWidth="1"/>
    <col min="13318" max="13318" width="1.7109375" style="1" customWidth="1"/>
    <col min="13319" max="13319" width="12.42578125" style="1" customWidth="1"/>
    <col min="13320" max="13320" width="2" style="1" customWidth="1"/>
    <col min="13321" max="13321" width="13.85546875" style="1" customWidth="1"/>
    <col min="13322" max="13322" width="3.85546875" style="1" customWidth="1"/>
    <col min="13323" max="13323" width="12.42578125" style="1" customWidth="1"/>
    <col min="13324" max="13324" width="12.5703125" style="1" customWidth="1"/>
    <col min="13325" max="13325" width="5.7109375" style="1" customWidth="1"/>
    <col min="13326" max="13328" width="6.85546875" style="1"/>
    <col min="13329" max="13329" width="10.140625" style="1" bestFit="1" customWidth="1"/>
    <col min="13330" max="13562" width="6.85546875" style="1"/>
    <col min="13563" max="13563" width="28.5703125" style="1" customWidth="1"/>
    <col min="13564" max="13564" width="13.5703125" style="1" customWidth="1"/>
    <col min="13565" max="13565" width="11.7109375" style="1" customWidth="1"/>
    <col min="13566" max="13566" width="12" style="1" customWidth="1"/>
    <col min="13567" max="13567" width="11.42578125" style="1" customWidth="1"/>
    <col min="13568" max="13568" width="13.140625" style="1" customWidth="1"/>
    <col min="13569" max="13569" width="11.140625" style="1" customWidth="1"/>
    <col min="13570" max="13570" width="10.7109375" style="1" customWidth="1"/>
    <col min="13571" max="13571" width="9" style="1" customWidth="1"/>
    <col min="13572" max="13572" width="9.140625" style="1" customWidth="1"/>
    <col min="13573" max="13573" width="10" style="1" customWidth="1"/>
    <col min="13574" max="13574" width="1.7109375" style="1" customWidth="1"/>
    <col min="13575" max="13575" width="12.42578125" style="1" customWidth="1"/>
    <col min="13576" max="13576" width="2" style="1" customWidth="1"/>
    <col min="13577" max="13577" width="13.85546875" style="1" customWidth="1"/>
    <col min="13578" max="13578" width="3.85546875" style="1" customWidth="1"/>
    <col min="13579" max="13579" width="12.42578125" style="1" customWidth="1"/>
    <col min="13580" max="13580" width="12.5703125" style="1" customWidth="1"/>
    <col min="13581" max="13581" width="5.7109375" style="1" customWidth="1"/>
    <col min="13582" max="13584" width="6.85546875" style="1"/>
    <col min="13585" max="13585" width="10.140625" style="1" bestFit="1" customWidth="1"/>
    <col min="13586" max="13818" width="6.85546875" style="1"/>
    <col min="13819" max="13819" width="28.5703125" style="1" customWidth="1"/>
    <col min="13820" max="13820" width="13.5703125" style="1" customWidth="1"/>
    <col min="13821" max="13821" width="11.7109375" style="1" customWidth="1"/>
    <col min="13822" max="13822" width="12" style="1" customWidth="1"/>
    <col min="13823" max="13823" width="11.42578125" style="1" customWidth="1"/>
    <col min="13824" max="13824" width="13.140625" style="1" customWidth="1"/>
    <col min="13825" max="13825" width="11.140625" style="1" customWidth="1"/>
    <col min="13826" max="13826" width="10.7109375" style="1" customWidth="1"/>
    <col min="13827" max="13827" width="9" style="1" customWidth="1"/>
    <col min="13828" max="13828" width="9.140625" style="1" customWidth="1"/>
    <col min="13829" max="13829" width="10" style="1" customWidth="1"/>
    <col min="13830" max="13830" width="1.7109375" style="1" customWidth="1"/>
    <col min="13831" max="13831" width="12.42578125" style="1" customWidth="1"/>
    <col min="13832" max="13832" width="2" style="1" customWidth="1"/>
    <col min="13833" max="13833" width="13.85546875" style="1" customWidth="1"/>
    <col min="13834" max="13834" width="3.85546875" style="1" customWidth="1"/>
    <col min="13835" max="13835" width="12.42578125" style="1" customWidth="1"/>
    <col min="13836" max="13836" width="12.5703125" style="1" customWidth="1"/>
    <col min="13837" max="13837" width="5.7109375" style="1" customWidth="1"/>
    <col min="13838" max="13840" width="6.85546875" style="1"/>
    <col min="13841" max="13841" width="10.140625" style="1" bestFit="1" customWidth="1"/>
    <col min="13842" max="14074" width="6.85546875" style="1"/>
    <col min="14075" max="14075" width="28.5703125" style="1" customWidth="1"/>
    <col min="14076" max="14076" width="13.5703125" style="1" customWidth="1"/>
    <col min="14077" max="14077" width="11.7109375" style="1" customWidth="1"/>
    <col min="14078" max="14078" width="12" style="1" customWidth="1"/>
    <col min="14079" max="14079" width="11.42578125" style="1" customWidth="1"/>
    <col min="14080" max="14080" width="13.140625" style="1" customWidth="1"/>
    <col min="14081" max="14081" width="11.140625" style="1" customWidth="1"/>
    <col min="14082" max="14082" width="10.7109375" style="1" customWidth="1"/>
    <col min="14083" max="14083" width="9" style="1" customWidth="1"/>
    <col min="14084" max="14084" width="9.140625" style="1" customWidth="1"/>
    <col min="14085" max="14085" width="10" style="1" customWidth="1"/>
    <col min="14086" max="14086" width="1.7109375" style="1" customWidth="1"/>
    <col min="14087" max="14087" width="12.42578125" style="1" customWidth="1"/>
    <col min="14088" max="14088" width="2" style="1" customWidth="1"/>
    <col min="14089" max="14089" width="13.85546875" style="1" customWidth="1"/>
    <col min="14090" max="14090" width="3.85546875" style="1" customWidth="1"/>
    <col min="14091" max="14091" width="12.42578125" style="1" customWidth="1"/>
    <col min="14092" max="14092" width="12.5703125" style="1" customWidth="1"/>
    <col min="14093" max="14093" width="5.7109375" style="1" customWidth="1"/>
    <col min="14094" max="14096" width="6.85546875" style="1"/>
    <col min="14097" max="14097" width="10.140625" style="1" bestFit="1" customWidth="1"/>
    <col min="14098" max="14330" width="6.85546875" style="1"/>
    <col min="14331" max="14331" width="28.5703125" style="1" customWidth="1"/>
    <col min="14332" max="14332" width="13.5703125" style="1" customWidth="1"/>
    <col min="14333" max="14333" width="11.7109375" style="1" customWidth="1"/>
    <col min="14334" max="14334" width="12" style="1" customWidth="1"/>
    <col min="14335" max="14335" width="11.42578125" style="1" customWidth="1"/>
    <col min="14336" max="14336" width="13.140625" style="1" customWidth="1"/>
    <col min="14337" max="14337" width="11.140625" style="1" customWidth="1"/>
    <col min="14338" max="14338" width="10.7109375" style="1" customWidth="1"/>
    <col min="14339" max="14339" width="9" style="1" customWidth="1"/>
    <col min="14340" max="14340" width="9.140625" style="1" customWidth="1"/>
    <col min="14341" max="14341" width="10" style="1" customWidth="1"/>
    <col min="14342" max="14342" width="1.7109375" style="1" customWidth="1"/>
    <col min="14343" max="14343" width="12.42578125" style="1" customWidth="1"/>
    <col min="14344" max="14344" width="2" style="1" customWidth="1"/>
    <col min="14345" max="14345" width="13.85546875" style="1" customWidth="1"/>
    <col min="14346" max="14346" width="3.85546875" style="1" customWidth="1"/>
    <col min="14347" max="14347" width="12.42578125" style="1" customWidth="1"/>
    <col min="14348" max="14348" width="12.5703125" style="1" customWidth="1"/>
    <col min="14349" max="14349" width="5.7109375" style="1" customWidth="1"/>
    <col min="14350" max="14352" width="6.85546875" style="1"/>
    <col min="14353" max="14353" width="10.140625" style="1" bestFit="1" customWidth="1"/>
    <col min="14354" max="14586" width="6.85546875" style="1"/>
    <col min="14587" max="14587" width="28.5703125" style="1" customWidth="1"/>
    <col min="14588" max="14588" width="13.5703125" style="1" customWidth="1"/>
    <col min="14589" max="14589" width="11.7109375" style="1" customWidth="1"/>
    <col min="14590" max="14590" width="12" style="1" customWidth="1"/>
    <col min="14591" max="14591" width="11.42578125" style="1" customWidth="1"/>
    <col min="14592" max="14592" width="13.140625" style="1" customWidth="1"/>
    <col min="14593" max="14593" width="11.140625" style="1" customWidth="1"/>
    <col min="14594" max="14594" width="10.7109375" style="1" customWidth="1"/>
    <col min="14595" max="14595" width="9" style="1" customWidth="1"/>
    <col min="14596" max="14596" width="9.140625" style="1" customWidth="1"/>
    <col min="14597" max="14597" width="10" style="1" customWidth="1"/>
    <col min="14598" max="14598" width="1.7109375" style="1" customWidth="1"/>
    <col min="14599" max="14599" width="12.42578125" style="1" customWidth="1"/>
    <col min="14600" max="14600" width="2" style="1" customWidth="1"/>
    <col min="14601" max="14601" width="13.85546875" style="1" customWidth="1"/>
    <col min="14602" max="14602" width="3.85546875" style="1" customWidth="1"/>
    <col min="14603" max="14603" width="12.42578125" style="1" customWidth="1"/>
    <col min="14604" max="14604" width="12.5703125" style="1" customWidth="1"/>
    <col min="14605" max="14605" width="5.7109375" style="1" customWidth="1"/>
    <col min="14606" max="14608" width="6.85546875" style="1"/>
    <col min="14609" max="14609" width="10.140625" style="1" bestFit="1" customWidth="1"/>
    <col min="14610" max="14842" width="6.85546875" style="1"/>
    <col min="14843" max="14843" width="28.5703125" style="1" customWidth="1"/>
    <col min="14844" max="14844" width="13.5703125" style="1" customWidth="1"/>
    <col min="14845" max="14845" width="11.7109375" style="1" customWidth="1"/>
    <col min="14846" max="14846" width="12" style="1" customWidth="1"/>
    <col min="14847" max="14847" width="11.42578125" style="1" customWidth="1"/>
    <col min="14848" max="14848" width="13.140625" style="1" customWidth="1"/>
    <col min="14849" max="14849" width="11.140625" style="1" customWidth="1"/>
    <col min="14850" max="14850" width="10.7109375" style="1" customWidth="1"/>
    <col min="14851" max="14851" width="9" style="1" customWidth="1"/>
    <col min="14852" max="14852" width="9.140625" style="1" customWidth="1"/>
    <col min="14853" max="14853" width="10" style="1" customWidth="1"/>
    <col min="14854" max="14854" width="1.7109375" style="1" customWidth="1"/>
    <col min="14855" max="14855" width="12.42578125" style="1" customWidth="1"/>
    <col min="14856" max="14856" width="2" style="1" customWidth="1"/>
    <col min="14857" max="14857" width="13.85546875" style="1" customWidth="1"/>
    <col min="14858" max="14858" width="3.85546875" style="1" customWidth="1"/>
    <col min="14859" max="14859" width="12.42578125" style="1" customWidth="1"/>
    <col min="14860" max="14860" width="12.5703125" style="1" customWidth="1"/>
    <col min="14861" max="14861" width="5.7109375" style="1" customWidth="1"/>
    <col min="14862" max="14864" width="6.85546875" style="1"/>
    <col min="14865" max="14865" width="10.140625" style="1" bestFit="1" customWidth="1"/>
    <col min="14866" max="15098" width="6.85546875" style="1"/>
    <col min="15099" max="15099" width="28.5703125" style="1" customWidth="1"/>
    <col min="15100" max="15100" width="13.5703125" style="1" customWidth="1"/>
    <col min="15101" max="15101" width="11.7109375" style="1" customWidth="1"/>
    <col min="15102" max="15102" width="12" style="1" customWidth="1"/>
    <col min="15103" max="15103" width="11.42578125" style="1" customWidth="1"/>
    <col min="15104" max="15104" width="13.140625" style="1" customWidth="1"/>
    <col min="15105" max="15105" width="11.140625" style="1" customWidth="1"/>
    <col min="15106" max="15106" width="10.7109375" style="1" customWidth="1"/>
    <col min="15107" max="15107" width="9" style="1" customWidth="1"/>
    <col min="15108" max="15108" width="9.140625" style="1" customWidth="1"/>
    <col min="15109" max="15109" width="10" style="1" customWidth="1"/>
    <col min="15110" max="15110" width="1.7109375" style="1" customWidth="1"/>
    <col min="15111" max="15111" width="12.42578125" style="1" customWidth="1"/>
    <col min="15112" max="15112" width="2" style="1" customWidth="1"/>
    <col min="15113" max="15113" width="13.85546875" style="1" customWidth="1"/>
    <col min="15114" max="15114" width="3.85546875" style="1" customWidth="1"/>
    <col min="15115" max="15115" width="12.42578125" style="1" customWidth="1"/>
    <col min="15116" max="15116" width="12.5703125" style="1" customWidth="1"/>
    <col min="15117" max="15117" width="5.7109375" style="1" customWidth="1"/>
    <col min="15118" max="15120" width="6.85546875" style="1"/>
    <col min="15121" max="15121" width="10.140625" style="1" bestFit="1" customWidth="1"/>
    <col min="15122" max="15354" width="6.85546875" style="1"/>
    <col min="15355" max="15355" width="28.5703125" style="1" customWidth="1"/>
    <col min="15356" max="15356" width="13.5703125" style="1" customWidth="1"/>
    <col min="15357" max="15357" width="11.7109375" style="1" customWidth="1"/>
    <col min="15358" max="15358" width="12" style="1" customWidth="1"/>
    <col min="15359" max="15359" width="11.42578125" style="1" customWidth="1"/>
    <col min="15360" max="15360" width="13.140625" style="1" customWidth="1"/>
    <col min="15361" max="15361" width="11.140625" style="1" customWidth="1"/>
    <col min="15362" max="15362" width="10.7109375" style="1" customWidth="1"/>
    <col min="15363" max="15363" width="9" style="1" customWidth="1"/>
    <col min="15364" max="15364" width="9.140625" style="1" customWidth="1"/>
    <col min="15365" max="15365" width="10" style="1" customWidth="1"/>
    <col min="15366" max="15366" width="1.7109375" style="1" customWidth="1"/>
    <col min="15367" max="15367" width="12.42578125" style="1" customWidth="1"/>
    <col min="15368" max="15368" width="2" style="1" customWidth="1"/>
    <col min="15369" max="15369" width="13.85546875" style="1" customWidth="1"/>
    <col min="15370" max="15370" width="3.85546875" style="1" customWidth="1"/>
    <col min="15371" max="15371" width="12.42578125" style="1" customWidth="1"/>
    <col min="15372" max="15372" width="12.5703125" style="1" customWidth="1"/>
    <col min="15373" max="15373" width="5.7109375" style="1" customWidth="1"/>
    <col min="15374" max="15376" width="6.85546875" style="1"/>
    <col min="15377" max="15377" width="10.140625" style="1" bestFit="1" customWidth="1"/>
    <col min="15378" max="15610" width="6.85546875" style="1"/>
    <col min="15611" max="15611" width="28.5703125" style="1" customWidth="1"/>
    <col min="15612" max="15612" width="13.5703125" style="1" customWidth="1"/>
    <col min="15613" max="15613" width="11.7109375" style="1" customWidth="1"/>
    <col min="15614" max="15614" width="12" style="1" customWidth="1"/>
    <col min="15615" max="15615" width="11.42578125" style="1" customWidth="1"/>
    <col min="15616" max="15616" width="13.140625" style="1" customWidth="1"/>
    <col min="15617" max="15617" width="11.140625" style="1" customWidth="1"/>
    <col min="15618" max="15618" width="10.7109375" style="1" customWidth="1"/>
    <col min="15619" max="15619" width="9" style="1" customWidth="1"/>
    <col min="15620" max="15620" width="9.140625" style="1" customWidth="1"/>
    <col min="15621" max="15621" width="10" style="1" customWidth="1"/>
    <col min="15622" max="15622" width="1.7109375" style="1" customWidth="1"/>
    <col min="15623" max="15623" width="12.42578125" style="1" customWidth="1"/>
    <col min="15624" max="15624" width="2" style="1" customWidth="1"/>
    <col min="15625" max="15625" width="13.85546875" style="1" customWidth="1"/>
    <col min="15626" max="15626" width="3.85546875" style="1" customWidth="1"/>
    <col min="15627" max="15627" width="12.42578125" style="1" customWidth="1"/>
    <col min="15628" max="15628" width="12.5703125" style="1" customWidth="1"/>
    <col min="15629" max="15629" width="5.7109375" style="1" customWidth="1"/>
    <col min="15630" max="15632" width="6.85546875" style="1"/>
    <col min="15633" max="15633" width="10.140625" style="1" bestFit="1" customWidth="1"/>
    <col min="15634" max="15866" width="6.85546875" style="1"/>
    <col min="15867" max="15867" width="28.5703125" style="1" customWidth="1"/>
    <col min="15868" max="15868" width="13.5703125" style="1" customWidth="1"/>
    <col min="15869" max="15869" width="11.7109375" style="1" customWidth="1"/>
    <col min="15870" max="15870" width="12" style="1" customWidth="1"/>
    <col min="15871" max="15871" width="11.42578125" style="1" customWidth="1"/>
    <col min="15872" max="15872" width="13.140625" style="1" customWidth="1"/>
    <col min="15873" max="15873" width="11.140625" style="1" customWidth="1"/>
    <col min="15874" max="15874" width="10.7109375" style="1" customWidth="1"/>
    <col min="15875" max="15875" width="9" style="1" customWidth="1"/>
    <col min="15876" max="15876" width="9.140625" style="1" customWidth="1"/>
    <col min="15877" max="15877" width="10" style="1" customWidth="1"/>
    <col min="15878" max="15878" width="1.7109375" style="1" customWidth="1"/>
    <col min="15879" max="15879" width="12.42578125" style="1" customWidth="1"/>
    <col min="15880" max="15880" width="2" style="1" customWidth="1"/>
    <col min="15881" max="15881" width="13.85546875" style="1" customWidth="1"/>
    <col min="15882" max="15882" width="3.85546875" style="1" customWidth="1"/>
    <col min="15883" max="15883" width="12.42578125" style="1" customWidth="1"/>
    <col min="15884" max="15884" width="12.5703125" style="1" customWidth="1"/>
    <col min="15885" max="15885" width="5.7109375" style="1" customWidth="1"/>
    <col min="15886" max="15888" width="6.85546875" style="1"/>
    <col min="15889" max="15889" width="10.140625" style="1" bestFit="1" customWidth="1"/>
    <col min="15890" max="16122" width="6.85546875" style="1"/>
    <col min="16123" max="16123" width="28.5703125" style="1" customWidth="1"/>
    <col min="16124" max="16124" width="13.5703125" style="1" customWidth="1"/>
    <col min="16125" max="16125" width="11.7109375" style="1" customWidth="1"/>
    <col min="16126" max="16126" width="12" style="1" customWidth="1"/>
    <col min="16127" max="16127" width="11.42578125" style="1" customWidth="1"/>
    <col min="16128" max="16128" width="13.140625" style="1" customWidth="1"/>
    <col min="16129" max="16129" width="11.140625" style="1" customWidth="1"/>
    <col min="16130" max="16130" width="10.7109375" style="1" customWidth="1"/>
    <col min="16131" max="16131" width="9" style="1" customWidth="1"/>
    <col min="16132" max="16132" width="9.140625" style="1" customWidth="1"/>
    <col min="16133" max="16133" width="10" style="1" customWidth="1"/>
    <col min="16134" max="16134" width="1.7109375" style="1" customWidth="1"/>
    <col min="16135" max="16135" width="12.42578125" style="1" customWidth="1"/>
    <col min="16136" max="16136" width="2" style="1" customWidth="1"/>
    <col min="16137" max="16137" width="13.85546875" style="1" customWidth="1"/>
    <col min="16138" max="16138" width="3.85546875" style="1" customWidth="1"/>
    <col min="16139" max="16139" width="12.42578125" style="1" customWidth="1"/>
    <col min="16140" max="16140" width="12.5703125" style="1" customWidth="1"/>
    <col min="16141" max="16141" width="5.7109375" style="1" customWidth="1"/>
    <col min="16142" max="16144" width="6.85546875" style="1"/>
    <col min="16145" max="16145" width="10.140625" style="1" bestFit="1" customWidth="1"/>
    <col min="16146" max="16384" width="6.85546875" style="1"/>
  </cols>
  <sheetData>
    <row r="1" spans="1:26" ht="48" customHeight="1" x14ac:dyDescent="0.2">
      <c r="A1" s="95" t="s">
        <v>94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O1" s="94"/>
      <c r="P1" s="94"/>
      <c r="Q1" s="94"/>
      <c r="R1" s="94"/>
      <c r="S1" s="94"/>
      <c r="T1" s="94"/>
      <c r="U1" s="94"/>
      <c r="V1" s="94"/>
      <c r="W1" s="94"/>
    </row>
    <row r="2" spans="1:26" ht="33" customHeight="1" x14ac:dyDescent="0.2">
      <c r="A2" s="3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8"/>
      <c r="L2" s="4"/>
      <c r="M2" s="5"/>
      <c r="O2" s="100" t="s">
        <v>111</v>
      </c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89.25" x14ac:dyDescent="0.2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3" t="s">
        <v>12</v>
      </c>
      <c r="I3" s="14" t="s">
        <v>13</v>
      </c>
      <c r="J3" s="13" t="s">
        <v>14</v>
      </c>
      <c r="K3" s="15" t="s">
        <v>15</v>
      </c>
      <c r="L3" s="16"/>
      <c r="M3" s="11" t="s">
        <v>105</v>
      </c>
      <c r="N3" s="89"/>
      <c r="O3" s="1" t="s">
        <v>95</v>
      </c>
      <c r="P3" s="53" t="s">
        <v>96</v>
      </c>
      <c r="Q3" s="1" t="s">
        <v>97</v>
      </c>
      <c r="R3" s="1" t="s">
        <v>98</v>
      </c>
      <c r="S3" s="68" t="s">
        <v>99</v>
      </c>
      <c r="T3" s="1" t="s">
        <v>100</v>
      </c>
      <c r="U3" s="68" t="s">
        <v>101</v>
      </c>
      <c r="V3" s="1" t="s">
        <v>11</v>
      </c>
      <c r="W3" s="68" t="s">
        <v>102</v>
      </c>
      <c r="X3" s="69" t="s">
        <v>108</v>
      </c>
      <c r="Y3" s="69" t="s">
        <v>109</v>
      </c>
      <c r="Z3" s="53" t="s">
        <v>110</v>
      </c>
    </row>
    <row r="4" spans="1:26" ht="15" customHeight="1" x14ac:dyDescent="0.2">
      <c r="A4" s="22" t="s">
        <v>21</v>
      </c>
      <c r="B4" s="25">
        <v>5261500</v>
      </c>
      <c r="C4" s="25">
        <v>0</v>
      </c>
      <c r="D4" s="25">
        <v>0</v>
      </c>
      <c r="E4" s="25">
        <v>6340</v>
      </c>
      <c r="F4" s="25">
        <v>0</v>
      </c>
      <c r="G4" s="25">
        <v>89030</v>
      </c>
      <c r="H4" s="25">
        <v>105300</v>
      </c>
      <c r="I4" s="25">
        <v>0</v>
      </c>
      <c r="J4" s="25">
        <v>0</v>
      </c>
      <c r="K4" s="25">
        <v>2383</v>
      </c>
      <c r="L4" s="25"/>
      <c r="M4" s="25">
        <v>262063.76096978722</v>
      </c>
      <c r="N4" s="90"/>
      <c r="O4" s="35">
        <f t="shared" ref="O4:O35" si="0">B4+C4+D4+E4+M4</f>
        <v>5529903.7609697869</v>
      </c>
      <c r="P4" s="35">
        <f t="shared" ref="P4:P35" si="1">F4+J4</f>
        <v>0</v>
      </c>
      <c r="Q4" s="35">
        <f>O4+P4</f>
        <v>5529903.7609697869</v>
      </c>
      <c r="R4" s="72">
        <f t="shared" ref="R4:R67" si="2">Q4/$Q$70*$P$74</f>
        <v>75911.445206176693</v>
      </c>
      <c r="S4" s="70">
        <f>Q4-R4</f>
        <v>5453992.3157636104</v>
      </c>
      <c r="T4" s="35">
        <f t="shared" ref="T4:T35" si="3">H4+I4</f>
        <v>105300</v>
      </c>
      <c r="U4" s="70">
        <f>T4*$T$72/$T$70</f>
        <v>26751.444453802746</v>
      </c>
      <c r="V4" s="35">
        <f t="shared" ref="V4:V35" si="4">G4</f>
        <v>89030</v>
      </c>
      <c r="W4" s="71">
        <f>V4*$V$72/$V$70</f>
        <v>6727.0830190073184</v>
      </c>
      <c r="X4" s="35">
        <f t="shared" ref="X4:X35" si="5">S4+U4+W4</f>
        <v>5487470.8432364203</v>
      </c>
      <c r="Y4" s="72">
        <f>X4/1000</f>
        <v>5487.4708432364205</v>
      </c>
      <c r="Z4" s="72">
        <f>Y4*25</f>
        <v>137186.77108091052</v>
      </c>
    </row>
    <row r="5" spans="1:26" ht="15" customHeight="1" x14ac:dyDescent="0.2">
      <c r="A5" s="22" t="s">
        <v>22</v>
      </c>
      <c r="B5" s="25">
        <v>4051840</v>
      </c>
      <c r="C5" s="25">
        <v>0</v>
      </c>
      <c r="D5" s="25">
        <v>0</v>
      </c>
      <c r="E5" s="25">
        <v>7220850</v>
      </c>
      <c r="F5" s="25">
        <v>0</v>
      </c>
      <c r="G5" s="25">
        <v>294870</v>
      </c>
      <c r="H5" s="25">
        <v>133390</v>
      </c>
      <c r="I5" s="25">
        <v>0</v>
      </c>
      <c r="J5" s="25">
        <v>0</v>
      </c>
      <c r="K5" s="25">
        <v>4875</v>
      </c>
      <c r="L5" s="25"/>
      <c r="M5" s="25">
        <v>943169.339397804</v>
      </c>
      <c r="N5" s="91"/>
      <c r="O5" s="35">
        <f t="shared" si="0"/>
        <v>12215859.339397805</v>
      </c>
      <c r="P5" s="35">
        <f t="shared" si="1"/>
        <v>0</v>
      </c>
      <c r="Q5" s="35">
        <f t="shared" ref="Q5:Q68" si="6">O5+P5</f>
        <v>12215859.339397805</v>
      </c>
      <c r="R5" s="72">
        <f t="shared" si="2"/>
        <v>167692.52720709777</v>
      </c>
      <c r="S5" s="70">
        <f t="shared" ref="S5:S68" si="7">Q5-R5</f>
        <v>12048166.812190708</v>
      </c>
      <c r="T5" s="35">
        <f t="shared" si="3"/>
        <v>133390</v>
      </c>
      <c r="U5" s="70">
        <f t="shared" ref="U5:U68" si="8">T5*$T$72/$T$70</f>
        <v>33887.703472865607</v>
      </c>
      <c r="V5" s="35">
        <f t="shared" si="4"/>
        <v>294870</v>
      </c>
      <c r="W5" s="71">
        <f t="shared" ref="W5:W68" si="9">V5*$V$72/$V$70</f>
        <v>22280.298436647063</v>
      </c>
      <c r="X5" s="35">
        <f t="shared" si="5"/>
        <v>12104334.814100221</v>
      </c>
      <c r="Y5" s="72">
        <f t="shared" ref="Y5:Y68" si="10">X5/1000</f>
        <v>12104.334814100221</v>
      </c>
      <c r="Z5" s="72">
        <f t="shared" ref="Z5:Z68" si="11">Y5*25</f>
        <v>302608.37035250553</v>
      </c>
    </row>
    <row r="6" spans="1:26" ht="15" customHeight="1" x14ac:dyDescent="0.2">
      <c r="A6" s="22" t="s">
        <v>23</v>
      </c>
      <c r="B6" s="25">
        <v>8962890</v>
      </c>
      <c r="C6" s="25">
        <v>2850</v>
      </c>
      <c r="D6" s="25">
        <v>0</v>
      </c>
      <c r="E6" s="25">
        <v>0</v>
      </c>
      <c r="F6" s="25">
        <v>1188040</v>
      </c>
      <c r="G6" s="25">
        <v>566970</v>
      </c>
      <c r="H6" s="25">
        <v>0</v>
      </c>
      <c r="I6" s="25">
        <v>0</v>
      </c>
      <c r="J6" s="25">
        <v>0</v>
      </c>
      <c r="K6" s="25">
        <v>18372</v>
      </c>
      <c r="L6" s="25"/>
      <c r="M6" s="25">
        <v>872251.58083306777</v>
      </c>
      <c r="N6" s="91"/>
      <c r="O6" s="35">
        <f t="shared" si="0"/>
        <v>9837991.5808330681</v>
      </c>
      <c r="P6" s="35">
        <f t="shared" si="1"/>
        <v>1188040</v>
      </c>
      <c r="Q6" s="35">
        <f t="shared" si="6"/>
        <v>11026031.580833068</v>
      </c>
      <c r="R6" s="72">
        <f t="shared" si="2"/>
        <v>151359.23306614597</v>
      </c>
      <c r="S6" s="70">
        <f t="shared" si="7"/>
        <v>10874672.347766923</v>
      </c>
      <c r="T6" s="35">
        <f t="shared" si="3"/>
        <v>0</v>
      </c>
      <c r="U6" s="70">
        <f t="shared" si="8"/>
        <v>0</v>
      </c>
      <c r="V6" s="35">
        <f t="shared" si="4"/>
        <v>566970</v>
      </c>
      <c r="W6" s="71">
        <f t="shared" si="9"/>
        <v>42840.101755437259</v>
      </c>
      <c r="X6" s="35">
        <f t="shared" si="5"/>
        <v>10917512.449522359</v>
      </c>
      <c r="Y6" s="72">
        <f t="shared" si="10"/>
        <v>10917.512449522359</v>
      </c>
      <c r="Z6" s="72">
        <f t="shared" si="11"/>
        <v>272937.81123805896</v>
      </c>
    </row>
    <row r="7" spans="1:26" ht="25.5" customHeight="1" x14ac:dyDescent="0.2">
      <c r="A7" s="22" t="s">
        <v>24</v>
      </c>
      <c r="B7" s="25">
        <v>9935160</v>
      </c>
      <c r="C7" s="25">
        <v>0</v>
      </c>
      <c r="D7" s="25">
        <v>0</v>
      </c>
      <c r="E7" s="25">
        <v>0</v>
      </c>
      <c r="F7" s="25">
        <v>1840240</v>
      </c>
      <c r="G7" s="25">
        <v>119620</v>
      </c>
      <c r="H7" s="25">
        <v>0</v>
      </c>
      <c r="I7" s="25">
        <v>0</v>
      </c>
      <c r="J7" s="25">
        <v>8100</v>
      </c>
      <c r="K7" s="25">
        <v>6231</v>
      </c>
      <c r="L7" s="25"/>
      <c r="M7" s="25">
        <v>426755.01797988382</v>
      </c>
      <c r="N7" s="91"/>
      <c r="O7" s="35">
        <f t="shared" si="0"/>
        <v>10361915.017979885</v>
      </c>
      <c r="P7" s="35">
        <f t="shared" si="1"/>
        <v>1848340</v>
      </c>
      <c r="Q7" s="35">
        <f t="shared" si="6"/>
        <v>12210255.017979885</v>
      </c>
      <c r="R7" s="72">
        <f t="shared" si="2"/>
        <v>167615.59419765972</v>
      </c>
      <c r="S7" s="70">
        <f t="shared" si="7"/>
        <v>12042639.423782226</v>
      </c>
      <c r="T7" s="35">
        <f t="shared" si="3"/>
        <v>0</v>
      </c>
      <c r="U7" s="70">
        <f t="shared" si="8"/>
        <v>0</v>
      </c>
      <c r="V7" s="35">
        <f t="shared" si="4"/>
        <v>119620</v>
      </c>
      <c r="W7" s="71">
        <f t="shared" si="9"/>
        <v>9038.4552480473485</v>
      </c>
      <c r="X7" s="35">
        <f t="shared" si="5"/>
        <v>12051677.879030272</v>
      </c>
      <c r="Y7" s="72">
        <f t="shared" si="10"/>
        <v>12051.677879030272</v>
      </c>
      <c r="Z7" s="72">
        <f t="shared" si="11"/>
        <v>301291.94697575679</v>
      </c>
    </row>
    <row r="8" spans="1:26" ht="15" customHeight="1" x14ac:dyDescent="0.2">
      <c r="A8" s="22" t="s">
        <v>25</v>
      </c>
      <c r="B8" s="25">
        <v>602850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/>
      <c r="M8" s="25">
        <v>0</v>
      </c>
      <c r="N8" s="91"/>
      <c r="O8" s="35">
        <f t="shared" si="0"/>
        <v>602850</v>
      </c>
      <c r="P8" s="35">
        <f t="shared" si="1"/>
        <v>0</v>
      </c>
      <c r="Q8" s="35">
        <f t="shared" si="6"/>
        <v>602850</v>
      </c>
      <c r="R8" s="72">
        <f t="shared" si="2"/>
        <v>8275.5897246425247</v>
      </c>
      <c r="S8" s="70">
        <f t="shared" si="7"/>
        <v>594574.41027535743</v>
      </c>
      <c r="T8" s="35">
        <f t="shared" si="3"/>
        <v>0</v>
      </c>
      <c r="U8" s="70">
        <f t="shared" si="8"/>
        <v>0</v>
      </c>
      <c r="V8" s="35">
        <f t="shared" si="4"/>
        <v>0</v>
      </c>
      <c r="W8" s="71">
        <f t="shared" si="9"/>
        <v>0</v>
      </c>
      <c r="X8" s="35">
        <f t="shared" si="5"/>
        <v>594574.41027535743</v>
      </c>
      <c r="Y8" s="72">
        <f t="shared" si="10"/>
        <v>594.57441027535742</v>
      </c>
      <c r="Z8" s="72">
        <f t="shared" si="11"/>
        <v>14864.360256883936</v>
      </c>
    </row>
    <row r="9" spans="1:26" ht="15" customHeight="1" x14ac:dyDescent="0.2">
      <c r="A9" s="22" t="s">
        <v>26</v>
      </c>
      <c r="B9" s="25">
        <v>87059980</v>
      </c>
      <c r="C9" s="25">
        <v>15400</v>
      </c>
      <c r="D9" s="25">
        <v>170900</v>
      </c>
      <c r="E9" s="25">
        <v>1860290</v>
      </c>
      <c r="F9" s="25">
        <v>61758590</v>
      </c>
      <c r="G9" s="25">
        <v>734690</v>
      </c>
      <c r="H9" s="25">
        <v>1902390</v>
      </c>
      <c r="I9" s="25">
        <v>352360</v>
      </c>
      <c r="J9" s="25">
        <v>9390</v>
      </c>
      <c r="K9" s="25">
        <v>0</v>
      </c>
      <c r="L9" s="25"/>
      <c r="M9" s="25">
        <v>6153682.7482808307</v>
      </c>
      <c r="N9" s="91"/>
      <c r="O9" s="35">
        <f t="shared" si="0"/>
        <v>95260252.748280823</v>
      </c>
      <c r="P9" s="35">
        <f t="shared" si="1"/>
        <v>61767980</v>
      </c>
      <c r="Q9" s="35">
        <f t="shared" si="6"/>
        <v>157028232.74828082</v>
      </c>
      <c r="R9" s="72">
        <f t="shared" si="2"/>
        <v>2155596.299926097</v>
      </c>
      <c r="S9" s="70">
        <f t="shared" si="7"/>
        <v>154872636.44835472</v>
      </c>
      <c r="T9" s="35">
        <f t="shared" si="3"/>
        <v>2254750</v>
      </c>
      <c r="U9" s="70">
        <f t="shared" si="8"/>
        <v>572818.79755186837</v>
      </c>
      <c r="V9" s="35">
        <f t="shared" si="4"/>
        <v>734690</v>
      </c>
      <c r="W9" s="71">
        <f t="shared" si="9"/>
        <v>55512.980155391291</v>
      </c>
      <c r="X9" s="35">
        <f t="shared" si="5"/>
        <v>155500968.22606197</v>
      </c>
      <c r="Y9" s="72">
        <f t="shared" si="10"/>
        <v>155500.96822606196</v>
      </c>
      <c r="Z9" s="72">
        <f t="shared" si="11"/>
        <v>3887524.2056515492</v>
      </c>
    </row>
    <row r="10" spans="1:26" ht="15" customHeight="1" x14ac:dyDescent="0.2">
      <c r="A10" s="22" t="s">
        <v>27</v>
      </c>
      <c r="B10" s="25">
        <v>6417520</v>
      </c>
      <c r="C10" s="25">
        <v>0</v>
      </c>
      <c r="D10" s="25">
        <v>0</v>
      </c>
      <c r="E10" s="25">
        <v>3852680</v>
      </c>
      <c r="F10" s="25">
        <v>2278430</v>
      </c>
      <c r="G10" s="25">
        <v>319530</v>
      </c>
      <c r="H10" s="25">
        <v>0</v>
      </c>
      <c r="I10" s="25">
        <v>0</v>
      </c>
      <c r="J10" s="25">
        <v>0</v>
      </c>
      <c r="K10" s="25">
        <v>6048</v>
      </c>
      <c r="L10" s="25"/>
      <c r="M10" s="25">
        <v>773099.44190880877</v>
      </c>
      <c r="N10" s="91"/>
      <c r="O10" s="35">
        <f t="shared" si="0"/>
        <v>11043299.441908808</v>
      </c>
      <c r="P10" s="35">
        <f t="shared" si="1"/>
        <v>2278430</v>
      </c>
      <c r="Q10" s="35">
        <f t="shared" si="6"/>
        <v>13321729.441908808</v>
      </c>
      <c r="R10" s="72">
        <f t="shared" si="2"/>
        <v>182873.29731098667</v>
      </c>
      <c r="S10" s="70">
        <f t="shared" si="7"/>
        <v>13138856.144597821</v>
      </c>
      <c r="T10" s="35">
        <f t="shared" si="3"/>
        <v>0</v>
      </c>
      <c r="U10" s="70">
        <f t="shared" si="8"/>
        <v>0</v>
      </c>
      <c r="V10" s="35">
        <f t="shared" si="4"/>
        <v>319530</v>
      </c>
      <c r="W10" s="71">
        <f t="shared" si="9"/>
        <v>24143.601449662005</v>
      </c>
      <c r="X10" s="35">
        <f t="shared" si="5"/>
        <v>13162999.746047484</v>
      </c>
      <c r="Y10" s="72">
        <f t="shared" si="10"/>
        <v>13162.999746047484</v>
      </c>
      <c r="Z10" s="72">
        <f t="shared" si="11"/>
        <v>329074.99365118711</v>
      </c>
    </row>
    <row r="11" spans="1:26" ht="15" customHeight="1" x14ac:dyDescent="0.2">
      <c r="A11" s="22" t="s">
        <v>28</v>
      </c>
      <c r="B11" s="25">
        <v>933920</v>
      </c>
      <c r="C11" s="25">
        <v>0</v>
      </c>
      <c r="D11" s="25">
        <v>0</v>
      </c>
      <c r="E11" s="25">
        <v>3889630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/>
      <c r="M11" s="25">
        <v>116340.58866046555</v>
      </c>
      <c r="N11" s="91"/>
      <c r="O11" s="35">
        <f t="shared" si="0"/>
        <v>4939890.5886604656</v>
      </c>
      <c r="P11" s="35">
        <f t="shared" si="1"/>
        <v>0</v>
      </c>
      <c r="Q11" s="35">
        <f t="shared" si="6"/>
        <v>4939890.5886604656</v>
      </c>
      <c r="R11" s="72">
        <f t="shared" si="2"/>
        <v>67812.072317121769</v>
      </c>
      <c r="S11" s="70">
        <f t="shared" si="7"/>
        <v>4872078.516343344</v>
      </c>
      <c r="T11" s="35">
        <f t="shared" si="3"/>
        <v>0</v>
      </c>
      <c r="U11" s="70">
        <f t="shared" si="8"/>
        <v>0</v>
      </c>
      <c r="V11" s="35">
        <f t="shared" si="4"/>
        <v>0</v>
      </c>
      <c r="W11" s="71">
        <f t="shared" si="9"/>
        <v>0</v>
      </c>
      <c r="X11" s="35">
        <f t="shared" si="5"/>
        <v>4872078.516343344</v>
      </c>
      <c r="Y11" s="72">
        <f t="shared" si="10"/>
        <v>4872.0785163433438</v>
      </c>
      <c r="Z11" s="72">
        <f t="shared" si="11"/>
        <v>121801.96290858359</v>
      </c>
    </row>
    <row r="12" spans="1:26" ht="15" customHeight="1" x14ac:dyDescent="0.2">
      <c r="A12" s="22" t="s">
        <v>29</v>
      </c>
      <c r="B12" s="25">
        <v>5170680</v>
      </c>
      <c r="C12" s="25">
        <v>4576290</v>
      </c>
      <c r="D12" s="25">
        <v>0</v>
      </c>
      <c r="E12" s="25">
        <v>252720</v>
      </c>
      <c r="F12" s="25">
        <v>0</v>
      </c>
      <c r="G12" s="25">
        <v>23680</v>
      </c>
      <c r="H12" s="25">
        <v>378390</v>
      </c>
      <c r="I12" s="25">
        <v>0</v>
      </c>
      <c r="J12" s="25">
        <v>0</v>
      </c>
      <c r="K12" s="25">
        <v>6009</v>
      </c>
      <c r="L12" s="25"/>
      <c r="M12" s="25">
        <v>535553.86584063096</v>
      </c>
      <c r="N12" s="91"/>
      <c r="O12" s="35">
        <f t="shared" si="0"/>
        <v>10535243.865840631</v>
      </c>
      <c r="P12" s="35">
        <f t="shared" si="1"/>
        <v>0</v>
      </c>
      <c r="Q12" s="35">
        <f t="shared" si="6"/>
        <v>10535243.865840631</v>
      </c>
      <c r="R12" s="72">
        <f t="shared" si="2"/>
        <v>144621.97210376363</v>
      </c>
      <c r="S12" s="70">
        <f t="shared" si="7"/>
        <v>10390621.893736867</v>
      </c>
      <c r="T12" s="35">
        <f t="shared" si="3"/>
        <v>378390</v>
      </c>
      <c r="U12" s="70">
        <f t="shared" si="8"/>
        <v>96129.905668323088</v>
      </c>
      <c r="V12" s="35">
        <f t="shared" si="4"/>
        <v>23680</v>
      </c>
      <c r="W12" s="71">
        <f t="shared" si="9"/>
        <v>1789.2544747848285</v>
      </c>
      <c r="X12" s="35">
        <f t="shared" si="5"/>
        <v>10488541.053879976</v>
      </c>
      <c r="Y12" s="72">
        <f t="shared" si="10"/>
        <v>10488.541053879977</v>
      </c>
      <c r="Z12" s="72">
        <f t="shared" si="11"/>
        <v>262213.52634699945</v>
      </c>
    </row>
    <row r="13" spans="1:26" ht="24" customHeight="1" x14ac:dyDescent="0.2">
      <c r="A13" s="22" t="s">
        <v>30</v>
      </c>
      <c r="B13" s="25">
        <v>13268290</v>
      </c>
      <c r="C13" s="25">
        <v>0</v>
      </c>
      <c r="D13" s="25">
        <v>0</v>
      </c>
      <c r="E13" s="25">
        <v>0</v>
      </c>
      <c r="F13" s="25">
        <v>4199530</v>
      </c>
      <c r="G13" s="25">
        <v>53600</v>
      </c>
      <c r="H13" s="25">
        <v>162320</v>
      </c>
      <c r="I13" s="25">
        <v>0</v>
      </c>
      <c r="J13" s="25">
        <v>0</v>
      </c>
      <c r="K13" s="25">
        <v>1425</v>
      </c>
      <c r="L13" s="25"/>
      <c r="M13" s="25">
        <v>1296341.3446196881</v>
      </c>
      <c r="N13" s="91"/>
      <c r="O13" s="35">
        <f t="shared" si="0"/>
        <v>14564631.344619688</v>
      </c>
      <c r="P13" s="35">
        <f t="shared" si="1"/>
        <v>4199530</v>
      </c>
      <c r="Q13" s="35">
        <f t="shared" si="6"/>
        <v>18764161.344619688</v>
      </c>
      <c r="R13" s="72">
        <f t="shared" si="2"/>
        <v>257583.97746548749</v>
      </c>
      <c r="S13" s="70">
        <f t="shared" si="7"/>
        <v>18506577.3671542</v>
      </c>
      <c r="T13" s="35">
        <f t="shared" si="3"/>
        <v>162320</v>
      </c>
      <c r="U13" s="70">
        <f t="shared" si="8"/>
        <v>41237.364328027179</v>
      </c>
      <c r="V13" s="35">
        <f t="shared" si="4"/>
        <v>53600</v>
      </c>
      <c r="W13" s="71">
        <f t="shared" si="9"/>
        <v>4050.0016827899835</v>
      </c>
      <c r="X13" s="35">
        <f t="shared" si="5"/>
        <v>18551864.733165015</v>
      </c>
      <c r="Y13" s="72">
        <f t="shared" si="10"/>
        <v>18551.864733165014</v>
      </c>
      <c r="Z13" s="72">
        <f t="shared" si="11"/>
        <v>463796.61832912534</v>
      </c>
    </row>
    <row r="14" spans="1:26" ht="22.5" customHeight="1" x14ac:dyDescent="0.2">
      <c r="A14" s="22" t="s">
        <v>31</v>
      </c>
      <c r="B14" s="25">
        <v>9218950</v>
      </c>
      <c r="C14" s="25">
        <v>2946220</v>
      </c>
      <c r="D14" s="25">
        <v>0</v>
      </c>
      <c r="E14" s="25">
        <v>0</v>
      </c>
      <c r="F14" s="25">
        <v>0</v>
      </c>
      <c r="G14" s="25">
        <v>8960</v>
      </c>
      <c r="H14" s="25">
        <v>47100</v>
      </c>
      <c r="I14" s="25">
        <v>0</v>
      </c>
      <c r="J14" s="25">
        <v>0</v>
      </c>
      <c r="K14" s="25">
        <v>3406</v>
      </c>
      <c r="L14" s="25"/>
      <c r="M14" s="25">
        <v>113780.4426597261</v>
      </c>
      <c r="N14" s="91"/>
      <c r="O14" s="35">
        <f t="shared" si="0"/>
        <v>12278950.442659726</v>
      </c>
      <c r="P14" s="35">
        <f t="shared" si="1"/>
        <v>0</v>
      </c>
      <c r="Q14" s="35">
        <f t="shared" si="6"/>
        <v>12278950.442659726</v>
      </c>
      <c r="R14" s="72">
        <f t="shared" si="2"/>
        <v>168558.60680545677</v>
      </c>
      <c r="S14" s="70">
        <f t="shared" si="7"/>
        <v>12110391.83585427</v>
      </c>
      <c r="T14" s="35">
        <f t="shared" si="3"/>
        <v>47100</v>
      </c>
      <c r="U14" s="70">
        <f t="shared" si="8"/>
        <v>11965.745809820601</v>
      </c>
      <c r="V14" s="35">
        <f t="shared" si="4"/>
        <v>8960</v>
      </c>
      <c r="W14" s="71">
        <f t="shared" si="9"/>
        <v>677.01520667534055</v>
      </c>
      <c r="X14" s="35">
        <f t="shared" si="5"/>
        <v>12123034.596870767</v>
      </c>
      <c r="Y14" s="72">
        <f t="shared" si="10"/>
        <v>12123.034596870766</v>
      </c>
      <c r="Z14" s="72">
        <f t="shared" si="11"/>
        <v>303075.86492176913</v>
      </c>
    </row>
    <row r="15" spans="1:26" ht="21" customHeight="1" x14ac:dyDescent="0.2">
      <c r="A15" s="22" t="s">
        <v>32</v>
      </c>
      <c r="B15" s="25">
        <v>23766190</v>
      </c>
      <c r="C15" s="25">
        <v>2758490</v>
      </c>
      <c r="D15" s="25">
        <v>2346170</v>
      </c>
      <c r="E15" s="25">
        <v>0</v>
      </c>
      <c r="F15" s="25">
        <v>1775240</v>
      </c>
      <c r="G15" s="25">
        <v>67810</v>
      </c>
      <c r="H15" s="25">
        <v>230850</v>
      </c>
      <c r="I15" s="25">
        <v>0</v>
      </c>
      <c r="J15" s="25">
        <v>16640</v>
      </c>
      <c r="K15" s="25">
        <v>3756</v>
      </c>
      <c r="L15" s="25"/>
      <c r="M15" s="25">
        <v>764178.93020144256</v>
      </c>
      <c r="N15" s="91"/>
      <c r="O15" s="35">
        <f t="shared" si="0"/>
        <v>29635028.930201441</v>
      </c>
      <c r="P15" s="35">
        <f t="shared" si="1"/>
        <v>1791880</v>
      </c>
      <c r="Q15" s="35">
        <f t="shared" si="6"/>
        <v>31426908.930201441</v>
      </c>
      <c r="R15" s="72">
        <f t="shared" si="2"/>
        <v>431411.13812731433</v>
      </c>
      <c r="S15" s="70">
        <f t="shared" si="7"/>
        <v>30995497.792074125</v>
      </c>
      <c r="T15" s="35">
        <f t="shared" si="3"/>
        <v>230850</v>
      </c>
      <c r="U15" s="70">
        <f t="shared" si="8"/>
        <v>58647.39745641371</v>
      </c>
      <c r="V15" s="35">
        <f t="shared" si="4"/>
        <v>67810</v>
      </c>
      <c r="W15" s="71">
        <f t="shared" si="9"/>
        <v>5123.7054871266564</v>
      </c>
      <c r="X15" s="35">
        <f t="shared" si="5"/>
        <v>31059268.895017669</v>
      </c>
      <c r="Y15" s="72">
        <f t="shared" si="10"/>
        <v>31059.268895017667</v>
      </c>
      <c r="Z15" s="72">
        <f t="shared" si="11"/>
        <v>776481.72237544169</v>
      </c>
    </row>
    <row r="16" spans="1:26" ht="30" customHeight="1" x14ac:dyDescent="0.2">
      <c r="A16" s="22" t="s">
        <v>33</v>
      </c>
      <c r="B16" s="25">
        <v>14498020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6768</v>
      </c>
      <c r="L16" s="25"/>
      <c r="M16" s="25">
        <v>1101817.2681672219</v>
      </c>
      <c r="N16" s="91"/>
      <c r="O16" s="35">
        <f t="shared" si="0"/>
        <v>15599837.268167222</v>
      </c>
      <c r="P16" s="35">
        <f t="shared" si="1"/>
        <v>0</v>
      </c>
      <c r="Q16" s="35">
        <f t="shared" si="6"/>
        <v>15599837.268167222</v>
      </c>
      <c r="R16" s="72">
        <f t="shared" si="2"/>
        <v>214145.89533472699</v>
      </c>
      <c r="S16" s="70">
        <f t="shared" si="7"/>
        <v>15385691.372832496</v>
      </c>
      <c r="T16" s="35">
        <f t="shared" si="3"/>
        <v>0</v>
      </c>
      <c r="U16" s="70">
        <f t="shared" si="8"/>
        <v>0</v>
      </c>
      <c r="V16" s="35">
        <f t="shared" si="4"/>
        <v>0</v>
      </c>
      <c r="W16" s="71">
        <f t="shared" si="9"/>
        <v>0</v>
      </c>
      <c r="X16" s="35">
        <f t="shared" si="5"/>
        <v>15385691.372832496</v>
      </c>
      <c r="Y16" s="72">
        <f t="shared" si="10"/>
        <v>15385.691372832496</v>
      </c>
      <c r="Z16" s="72">
        <f t="shared" si="11"/>
        <v>384642.28432081238</v>
      </c>
    </row>
    <row r="17" spans="1:26" ht="15" customHeight="1" x14ac:dyDescent="0.2">
      <c r="A17" s="22" t="s">
        <v>34</v>
      </c>
      <c r="B17" s="25">
        <v>5027860</v>
      </c>
      <c r="C17" s="25">
        <v>0</v>
      </c>
      <c r="D17" s="25">
        <v>0</v>
      </c>
      <c r="E17" s="25">
        <v>0</v>
      </c>
      <c r="F17" s="25">
        <v>4060</v>
      </c>
      <c r="G17" s="25">
        <v>221890</v>
      </c>
      <c r="H17" s="25">
        <v>6930</v>
      </c>
      <c r="I17" s="25">
        <v>36600</v>
      </c>
      <c r="J17" s="25">
        <v>1113530</v>
      </c>
      <c r="K17" s="25">
        <v>4691</v>
      </c>
      <c r="L17" s="25"/>
      <c r="M17" s="25">
        <v>13401.003008294323</v>
      </c>
      <c r="N17" s="91"/>
      <c r="O17" s="35">
        <f t="shared" si="0"/>
        <v>5041261.0030082939</v>
      </c>
      <c r="P17" s="35">
        <f t="shared" si="1"/>
        <v>1117590</v>
      </c>
      <c r="Q17" s="35">
        <f t="shared" si="6"/>
        <v>6158851.0030082939</v>
      </c>
      <c r="R17" s="72">
        <f t="shared" si="2"/>
        <v>84545.283364186354</v>
      </c>
      <c r="S17" s="70">
        <f t="shared" si="7"/>
        <v>6074305.7196441079</v>
      </c>
      <c r="T17" s="35">
        <f t="shared" si="3"/>
        <v>43530</v>
      </c>
      <c r="U17" s="70">
        <f t="shared" si="8"/>
        <v>11058.788006401079</v>
      </c>
      <c r="V17" s="35">
        <f t="shared" si="4"/>
        <v>221890</v>
      </c>
      <c r="W17" s="71">
        <f t="shared" si="9"/>
        <v>16765.949130490102</v>
      </c>
      <c r="X17" s="35">
        <f t="shared" si="5"/>
        <v>6102130.456780999</v>
      </c>
      <c r="Y17" s="72">
        <f t="shared" si="10"/>
        <v>6102.1304567809993</v>
      </c>
      <c r="Z17" s="72">
        <f t="shared" si="11"/>
        <v>152553.26141952499</v>
      </c>
    </row>
    <row r="18" spans="1:26" ht="15" customHeight="1" x14ac:dyDescent="0.2">
      <c r="A18" s="22" t="s">
        <v>35</v>
      </c>
      <c r="B18" s="25">
        <v>9474710</v>
      </c>
      <c r="C18" s="25">
        <v>0</v>
      </c>
      <c r="D18" s="25">
        <v>0</v>
      </c>
      <c r="E18" s="25">
        <v>0</v>
      </c>
      <c r="F18" s="25">
        <v>17710</v>
      </c>
      <c r="G18" s="25">
        <v>297100</v>
      </c>
      <c r="H18" s="25">
        <v>144140</v>
      </c>
      <c r="I18" s="25">
        <v>5740</v>
      </c>
      <c r="J18" s="25">
        <v>3340</v>
      </c>
      <c r="K18" s="25">
        <v>0</v>
      </c>
      <c r="L18" s="25"/>
      <c r="M18" s="25">
        <v>0</v>
      </c>
      <c r="N18" s="91"/>
      <c r="O18" s="35">
        <f t="shared" si="0"/>
        <v>9474710</v>
      </c>
      <c r="P18" s="35">
        <f t="shared" si="1"/>
        <v>21050</v>
      </c>
      <c r="Q18" s="35">
        <f t="shared" si="6"/>
        <v>9495760</v>
      </c>
      <c r="R18" s="72">
        <f t="shared" si="2"/>
        <v>130352.51535816786</v>
      </c>
      <c r="S18" s="70">
        <f t="shared" si="7"/>
        <v>9365407.4846418314</v>
      </c>
      <c r="T18" s="35">
        <f t="shared" si="3"/>
        <v>149880</v>
      </c>
      <c r="U18" s="70">
        <f t="shared" si="8"/>
        <v>38076.984755327212</v>
      </c>
      <c r="V18" s="35">
        <f t="shared" si="4"/>
        <v>297100</v>
      </c>
      <c r="W18" s="71">
        <f t="shared" si="9"/>
        <v>22448.796640987017</v>
      </c>
      <c r="X18" s="35">
        <f t="shared" si="5"/>
        <v>9425933.2660381459</v>
      </c>
      <c r="Y18" s="72">
        <f t="shared" si="10"/>
        <v>9425.933266038146</v>
      </c>
      <c r="Z18" s="72">
        <f t="shared" si="11"/>
        <v>235648.33165095365</v>
      </c>
    </row>
    <row r="19" spans="1:26" ht="15" customHeight="1" x14ac:dyDescent="0.2">
      <c r="A19" s="22" t="s">
        <v>36</v>
      </c>
      <c r="B19" s="25">
        <v>7630380</v>
      </c>
      <c r="C19" s="25">
        <v>0</v>
      </c>
      <c r="D19" s="25">
        <v>0</v>
      </c>
      <c r="E19" s="25">
        <v>0</v>
      </c>
      <c r="F19" s="25">
        <v>1415920</v>
      </c>
      <c r="G19" s="25">
        <v>90590</v>
      </c>
      <c r="H19" s="25">
        <v>0</v>
      </c>
      <c r="I19" s="25">
        <v>0</v>
      </c>
      <c r="J19" s="25">
        <v>5310</v>
      </c>
      <c r="K19" s="25">
        <v>0</v>
      </c>
      <c r="L19" s="25"/>
      <c r="M19" s="25">
        <v>448177.64058260276</v>
      </c>
      <c r="N19" s="91"/>
      <c r="O19" s="35">
        <f t="shared" si="0"/>
        <v>8078557.6405826025</v>
      </c>
      <c r="P19" s="35">
        <f t="shared" si="1"/>
        <v>1421230</v>
      </c>
      <c r="Q19" s="35">
        <f t="shared" si="6"/>
        <v>9499787.6405826025</v>
      </c>
      <c r="R19" s="72">
        <f t="shared" si="2"/>
        <v>130407.80456944751</v>
      </c>
      <c r="S19" s="70">
        <f t="shared" si="7"/>
        <v>9369379.8360131551</v>
      </c>
      <c r="T19" s="35">
        <f t="shared" si="3"/>
        <v>0</v>
      </c>
      <c r="U19" s="70">
        <f t="shared" si="8"/>
        <v>0</v>
      </c>
      <c r="V19" s="35">
        <f t="shared" si="4"/>
        <v>90590</v>
      </c>
      <c r="W19" s="71">
        <f t="shared" si="9"/>
        <v>6844.9562023123999</v>
      </c>
      <c r="X19" s="35">
        <f t="shared" si="5"/>
        <v>9376224.7922154684</v>
      </c>
      <c r="Y19" s="72">
        <f t="shared" si="10"/>
        <v>9376.2247922154675</v>
      </c>
      <c r="Z19" s="72">
        <f t="shared" si="11"/>
        <v>234405.6198053867</v>
      </c>
    </row>
    <row r="20" spans="1:26" ht="15" customHeight="1" x14ac:dyDescent="0.2">
      <c r="A20" s="22" t="s">
        <v>37</v>
      </c>
      <c r="B20" s="25">
        <v>19913440</v>
      </c>
      <c r="C20" s="25">
        <v>0</v>
      </c>
      <c r="D20" s="25">
        <v>0</v>
      </c>
      <c r="E20" s="25">
        <v>0</v>
      </c>
      <c r="F20" s="25">
        <v>3090</v>
      </c>
      <c r="G20" s="25">
        <v>445170</v>
      </c>
      <c r="H20" s="25">
        <v>136050</v>
      </c>
      <c r="I20" s="25">
        <v>0</v>
      </c>
      <c r="J20" s="25">
        <v>0</v>
      </c>
      <c r="K20" s="25">
        <v>4132</v>
      </c>
      <c r="L20" s="25"/>
      <c r="M20" s="25">
        <v>1747147.1469917719</v>
      </c>
      <c r="N20" s="91"/>
      <c r="O20" s="35">
        <f t="shared" si="0"/>
        <v>21660587.146991771</v>
      </c>
      <c r="P20" s="35">
        <f t="shared" si="1"/>
        <v>3090</v>
      </c>
      <c r="Q20" s="35">
        <f t="shared" si="6"/>
        <v>21663677.146991771</v>
      </c>
      <c r="R20" s="72">
        <f t="shared" si="2"/>
        <v>297386.91879508697</v>
      </c>
      <c r="S20" s="70">
        <f t="shared" si="7"/>
        <v>21366290.228196684</v>
      </c>
      <c r="T20" s="35">
        <f t="shared" si="3"/>
        <v>136050</v>
      </c>
      <c r="U20" s="70">
        <f t="shared" si="8"/>
        <v>34563.475953844856</v>
      </c>
      <c r="V20" s="35">
        <f t="shared" si="4"/>
        <v>445170</v>
      </c>
      <c r="W20" s="71">
        <f t="shared" si="9"/>
        <v>33636.926289694347</v>
      </c>
      <c r="X20" s="35">
        <f t="shared" si="5"/>
        <v>21434490.63044022</v>
      </c>
      <c r="Y20" s="72">
        <f t="shared" si="10"/>
        <v>21434.490630440221</v>
      </c>
      <c r="Z20" s="72">
        <f t="shared" si="11"/>
        <v>535862.26576100558</v>
      </c>
    </row>
    <row r="21" spans="1:26" ht="15" customHeight="1" x14ac:dyDescent="0.2">
      <c r="A21" s="22" t="s">
        <v>38</v>
      </c>
      <c r="B21" s="25">
        <v>2795440</v>
      </c>
      <c r="C21" s="25">
        <v>0</v>
      </c>
      <c r="D21" s="25">
        <v>0</v>
      </c>
      <c r="E21" s="25">
        <v>3122820</v>
      </c>
      <c r="F21" s="25">
        <v>0</v>
      </c>
      <c r="G21" s="25">
        <v>118330</v>
      </c>
      <c r="H21" s="25">
        <v>27970</v>
      </c>
      <c r="I21" s="25">
        <v>0</v>
      </c>
      <c r="J21" s="25">
        <v>0</v>
      </c>
      <c r="K21" s="25">
        <v>0</v>
      </c>
      <c r="L21" s="25"/>
      <c r="M21" s="25">
        <v>199883.32239460759</v>
      </c>
      <c r="N21" s="91"/>
      <c r="O21" s="35">
        <f t="shared" si="0"/>
        <v>6118143.3223946076</v>
      </c>
      <c r="P21" s="35">
        <f t="shared" si="1"/>
        <v>0</v>
      </c>
      <c r="Q21" s="35">
        <f t="shared" si="6"/>
        <v>6118143.3223946076</v>
      </c>
      <c r="R21" s="72">
        <f t="shared" si="2"/>
        <v>83986.470950815448</v>
      </c>
      <c r="S21" s="70">
        <f t="shared" si="7"/>
        <v>6034156.8514437918</v>
      </c>
      <c r="T21" s="35">
        <f t="shared" si="3"/>
        <v>27970</v>
      </c>
      <c r="U21" s="70">
        <f t="shared" si="8"/>
        <v>7105.7730424773299</v>
      </c>
      <c r="V21" s="35">
        <f t="shared" si="4"/>
        <v>118330</v>
      </c>
      <c r="W21" s="71">
        <f t="shared" si="9"/>
        <v>8940.9831926219922</v>
      </c>
      <c r="X21" s="35">
        <f t="shared" si="5"/>
        <v>6050203.6076788912</v>
      </c>
      <c r="Y21" s="72">
        <f t="shared" si="10"/>
        <v>6050.2036076788909</v>
      </c>
      <c r="Z21" s="72">
        <f t="shared" si="11"/>
        <v>151255.09019197227</v>
      </c>
    </row>
    <row r="22" spans="1:26" ht="20.25" customHeight="1" x14ac:dyDescent="0.2">
      <c r="A22" s="22" t="s">
        <v>39</v>
      </c>
      <c r="B22" s="25">
        <v>9554810</v>
      </c>
      <c r="C22" s="25">
        <v>5492140</v>
      </c>
      <c r="D22" s="25">
        <v>0</v>
      </c>
      <c r="E22" s="25">
        <v>0</v>
      </c>
      <c r="F22" s="25">
        <v>0</v>
      </c>
      <c r="G22" s="25">
        <v>2567510</v>
      </c>
      <c r="H22" s="25">
        <v>0</v>
      </c>
      <c r="I22" s="25">
        <v>0</v>
      </c>
      <c r="J22" s="25">
        <v>0</v>
      </c>
      <c r="K22" s="25">
        <v>0</v>
      </c>
      <c r="L22" s="25"/>
      <c r="M22" s="25">
        <v>0</v>
      </c>
      <c r="N22" s="91"/>
      <c r="O22" s="35">
        <f t="shared" si="0"/>
        <v>15046950</v>
      </c>
      <c r="P22" s="35">
        <f t="shared" si="1"/>
        <v>0</v>
      </c>
      <c r="Q22" s="35">
        <f t="shared" si="6"/>
        <v>15046950</v>
      </c>
      <c r="R22" s="72">
        <f t="shared" si="2"/>
        <v>206556.16622245969</v>
      </c>
      <c r="S22" s="70">
        <f t="shared" si="7"/>
        <v>14840393.833777539</v>
      </c>
      <c r="T22" s="35">
        <f t="shared" si="3"/>
        <v>0</v>
      </c>
      <c r="U22" s="70">
        <f t="shared" si="8"/>
        <v>0</v>
      </c>
      <c r="V22" s="35">
        <f t="shared" si="4"/>
        <v>2567510</v>
      </c>
      <c r="W22" s="71">
        <f t="shared" si="9"/>
        <v>194000.36978694238</v>
      </c>
      <c r="X22" s="35">
        <f t="shared" si="5"/>
        <v>15034394.203564482</v>
      </c>
      <c r="Y22" s="72">
        <f t="shared" si="10"/>
        <v>15034.394203564481</v>
      </c>
      <c r="Z22" s="72">
        <f t="shared" si="11"/>
        <v>375859.85508911201</v>
      </c>
    </row>
    <row r="23" spans="1:26" ht="15" customHeight="1" x14ac:dyDescent="0.2">
      <c r="A23" s="22" t="s">
        <v>40</v>
      </c>
      <c r="B23" s="25">
        <v>7279230</v>
      </c>
      <c r="C23" s="25">
        <v>0</v>
      </c>
      <c r="D23" s="25">
        <v>0</v>
      </c>
      <c r="E23" s="25">
        <v>0</v>
      </c>
      <c r="F23" s="25">
        <v>8770</v>
      </c>
      <c r="G23" s="25">
        <v>0</v>
      </c>
      <c r="H23" s="25">
        <v>0</v>
      </c>
      <c r="I23" s="25">
        <v>0</v>
      </c>
      <c r="J23" s="25">
        <v>0</v>
      </c>
      <c r="K23" s="25">
        <v>6437</v>
      </c>
      <c r="L23" s="25"/>
      <c r="M23" s="25">
        <v>482517.33269336628</v>
      </c>
      <c r="N23" s="91"/>
      <c r="O23" s="35">
        <f t="shared" si="0"/>
        <v>7761747.3326933663</v>
      </c>
      <c r="P23" s="35">
        <f t="shared" si="1"/>
        <v>8770</v>
      </c>
      <c r="Q23" s="35">
        <f t="shared" si="6"/>
        <v>7770517.3326933663</v>
      </c>
      <c r="R23" s="72">
        <f t="shared" si="2"/>
        <v>106669.34294367398</v>
      </c>
      <c r="S23" s="70">
        <f t="shared" si="7"/>
        <v>7663847.9897496924</v>
      </c>
      <c r="T23" s="35">
        <f t="shared" si="3"/>
        <v>0</v>
      </c>
      <c r="U23" s="70">
        <f t="shared" si="8"/>
        <v>0</v>
      </c>
      <c r="V23" s="35">
        <f t="shared" si="4"/>
        <v>0</v>
      </c>
      <c r="W23" s="71">
        <f t="shared" si="9"/>
        <v>0</v>
      </c>
      <c r="X23" s="35">
        <f t="shared" si="5"/>
        <v>7663847.9897496924</v>
      </c>
      <c r="Y23" s="72">
        <f t="shared" si="10"/>
        <v>7663.8479897496927</v>
      </c>
      <c r="Z23" s="72">
        <f t="shared" si="11"/>
        <v>191596.19974374233</v>
      </c>
    </row>
    <row r="24" spans="1:26" ht="25.5" customHeight="1" x14ac:dyDescent="0.2">
      <c r="A24" s="22" t="s">
        <v>41</v>
      </c>
      <c r="B24" s="25">
        <v>8062950</v>
      </c>
      <c r="C24" s="25">
        <v>0</v>
      </c>
      <c r="D24" s="25">
        <v>523700</v>
      </c>
      <c r="E24" s="25">
        <v>1145020</v>
      </c>
      <c r="F24" s="25">
        <v>90770</v>
      </c>
      <c r="G24" s="25">
        <v>291720</v>
      </c>
      <c r="H24" s="25">
        <v>126410</v>
      </c>
      <c r="I24" s="25">
        <v>0</v>
      </c>
      <c r="J24" s="25">
        <v>0</v>
      </c>
      <c r="K24" s="25">
        <v>5517</v>
      </c>
      <c r="L24" s="25"/>
      <c r="M24" s="25">
        <v>682841.89330632938</v>
      </c>
      <c r="N24" s="91"/>
      <c r="O24" s="35">
        <f t="shared" si="0"/>
        <v>10414511.89330633</v>
      </c>
      <c r="P24" s="35">
        <f t="shared" si="1"/>
        <v>90770</v>
      </c>
      <c r="Q24" s="35">
        <f t="shared" si="6"/>
        <v>10505281.89330633</v>
      </c>
      <c r="R24" s="72">
        <f t="shared" si="2"/>
        <v>144210.67079824008</v>
      </c>
      <c r="S24" s="70">
        <f t="shared" si="7"/>
        <v>10361071.22250809</v>
      </c>
      <c r="T24" s="35">
        <f t="shared" si="3"/>
        <v>126410</v>
      </c>
      <c r="U24" s="70">
        <f t="shared" si="8"/>
        <v>32114.435834807267</v>
      </c>
      <c r="V24" s="35">
        <f t="shared" si="4"/>
        <v>291720</v>
      </c>
      <c r="W24" s="71">
        <f t="shared" si="9"/>
        <v>22042.285278050262</v>
      </c>
      <c r="X24" s="35">
        <f t="shared" si="5"/>
        <v>10415227.943620946</v>
      </c>
      <c r="Y24" s="72">
        <f t="shared" si="10"/>
        <v>10415.227943620946</v>
      </c>
      <c r="Z24" s="72">
        <f t="shared" si="11"/>
        <v>260380.69859052365</v>
      </c>
    </row>
    <row r="25" spans="1:26" ht="15" customHeight="1" x14ac:dyDescent="0.2">
      <c r="A25" s="36" t="s">
        <v>42</v>
      </c>
      <c r="B25" s="25">
        <v>10489860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2383</v>
      </c>
      <c r="L25" s="25"/>
      <c r="M25" s="25">
        <v>604612.0980390003</v>
      </c>
      <c r="N25" s="91"/>
      <c r="O25" s="35">
        <f t="shared" si="0"/>
        <v>11094472.098039001</v>
      </c>
      <c r="P25" s="35">
        <f t="shared" si="1"/>
        <v>0</v>
      </c>
      <c r="Q25" s="35">
        <f t="shared" si="6"/>
        <v>11094472.098039001</v>
      </c>
      <c r="R25" s="72">
        <f t="shared" si="2"/>
        <v>152298.74644582358</v>
      </c>
      <c r="S25" s="70">
        <f t="shared" si="7"/>
        <v>10942173.351593178</v>
      </c>
      <c r="T25" s="35">
        <f t="shared" si="3"/>
        <v>0</v>
      </c>
      <c r="U25" s="70">
        <f t="shared" si="8"/>
        <v>0</v>
      </c>
      <c r="V25" s="35">
        <f t="shared" si="4"/>
        <v>0</v>
      </c>
      <c r="W25" s="71">
        <f t="shared" si="9"/>
        <v>0</v>
      </c>
      <c r="X25" s="35">
        <f t="shared" si="5"/>
        <v>10942173.351593178</v>
      </c>
      <c r="Y25" s="72">
        <f t="shared" si="10"/>
        <v>10942.173351593177</v>
      </c>
      <c r="Z25" s="72">
        <f t="shared" si="11"/>
        <v>273554.33378982946</v>
      </c>
    </row>
    <row r="26" spans="1:26" ht="15" customHeight="1" x14ac:dyDescent="0.2">
      <c r="A26" s="22" t="s">
        <v>43</v>
      </c>
      <c r="B26" s="25">
        <v>13034800</v>
      </c>
      <c r="C26" s="25">
        <v>0</v>
      </c>
      <c r="D26" s="25">
        <v>0</v>
      </c>
      <c r="E26" s="25">
        <v>0</v>
      </c>
      <c r="F26" s="25">
        <v>0</v>
      </c>
      <c r="G26" s="25">
        <v>47750</v>
      </c>
      <c r="H26" s="25">
        <v>36570</v>
      </c>
      <c r="I26" s="25">
        <v>0</v>
      </c>
      <c r="J26" s="25">
        <v>0</v>
      </c>
      <c r="K26" s="25">
        <v>4060</v>
      </c>
      <c r="L26" s="25"/>
      <c r="M26" s="25">
        <v>468273.41050713329</v>
      </c>
      <c r="N26" s="91"/>
      <c r="O26" s="35">
        <f t="shared" si="0"/>
        <v>13503073.410507133</v>
      </c>
      <c r="P26" s="35">
        <f t="shared" si="1"/>
        <v>0</v>
      </c>
      <c r="Q26" s="35">
        <f t="shared" si="6"/>
        <v>13503073.410507133</v>
      </c>
      <c r="R26" s="72">
        <f t="shared" si="2"/>
        <v>185362.68651751932</v>
      </c>
      <c r="S26" s="70">
        <f t="shared" si="7"/>
        <v>13317710.723989613</v>
      </c>
      <c r="T26" s="35">
        <f t="shared" si="3"/>
        <v>36570</v>
      </c>
      <c r="U26" s="70">
        <f t="shared" si="8"/>
        <v>9290.6013644403265</v>
      </c>
      <c r="V26" s="35">
        <f t="shared" si="4"/>
        <v>47750</v>
      </c>
      <c r="W26" s="71">
        <f t="shared" si="9"/>
        <v>3607.9772453959276</v>
      </c>
      <c r="X26" s="35">
        <f t="shared" si="5"/>
        <v>13330609.302599451</v>
      </c>
      <c r="Y26" s="72">
        <f t="shared" si="10"/>
        <v>13330.609302599451</v>
      </c>
      <c r="Z26" s="72">
        <f t="shared" si="11"/>
        <v>333265.23256498628</v>
      </c>
    </row>
    <row r="27" spans="1:26" ht="15" customHeight="1" x14ac:dyDescent="0.2">
      <c r="A27" s="22" t="s">
        <v>44</v>
      </c>
      <c r="B27" s="25">
        <v>8491380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28540</v>
      </c>
      <c r="I27" s="25">
        <v>1260</v>
      </c>
      <c r="J27" s="25">
        <v>1290950</v>
      </c>
      <c r="K27" s="25">
        <v>5045</v>
      </c>
      <c r="L27" s="25"/>
      <c r="M27" s="25">
        <v>32709.818129780251</v>
      </c>
      <c r="N27" s="91"/>
      <c r="O27" s="35">
        <f t="shared" si="0"/>
        <v>8524089.8181297798</v>
      </c>
      <c r="P27" s="35">
        <f t="shared" si="1"/>
        <v>1290950</v>
      </c>
      <c r="Q27" s="35">
        <f t="shared" si="6"/>
        <v>9815039.8181297798</v>
      </c>
      <c r="R27" s="72">
        <f t="shared" si="2"/>
        <v>134735.41123973133</v>
      </c>
      <c r="S27" s="70">
        <f t="shared" si="7"/>
        <v>9680304.4068900477</v>
      </c>
      <c r="T27" s="35">
        <f t="shared" si="3"/>
        <v>29800</v>
      </c>
      <c r="U27" s="70">
        <f t="shared" si="8"/>
        <v>7570.6841854066652</v>
      </c>
      <c r="V27" s="35">
        <f t="shared" si="4"/>
        <v>0</v>
      </c>
      <c r="W27" s="71">
        <f t="shared" si="9"/>
        <v>0</v>
      </c>
      <c r="X27" s="35">
        <f t="shared" si="5"/>
        <v>9687875.0910754539</v>
      </c>
      <c r="Y27" s="72">
        <f t="shared" si="10"/>
        <v>9687.8750910754534</v>
      </c>
      <c r="Z27" s="72">
        <f t="shared" si="11"/>
        <v>242196.87727688634</v>
      </c>
    </row>
    <row r="28" spans="1:26" ht="15" customHeight="1" x14ac:dyDescent="0.2">
      <c r="A28" s="22" t="s">
        <v>45</v>
      </c>
      <c r="B28" s="25">
        <v>12279610</v>
      </c>
      <c r="C28" s="25">
        <v>0</v>
      </c>
      <c r="D28" s="25">
        <v>0</v>
      </c>
      <c r="E28" s="25">
        <v>0</v>
      </c>
      <c r="F28" s="25">
        <v>3041130</v>
      </c>
      <c r="G28" s="25">
        <v>203920</v>
      </c>
      <c r="H28" s="25">
        <v>158430</v>
      </c>
      <c r="I28" s="25">
        <v>0</v>
      </c>
      <c r="J28" s="25">
        <v>0</v>
      </c>
      <c r="K28" s="25">
        <v>4759</v>
      </c>
      <c r="L28" s="25"/>
      <c r="M28" s="25">
        <v>586615.49511440331</v>
      </c>
      <c r="N28" s="91"/>
      <c r="O28" s="35">
        <f t="shared" si="0"/>
        <v>12866225.495114403</v>
      </c>
      <c r="P28" s="35">
        <f t="shared" si="1"/>
        <v>3041130</v>
      </c>
      <c r="Q28" s="35">
        <f t="shared" si="6"/>
        <v>15907355.495114403</v>
      </c>
      <c r="R28" s="72">
        <f t="shared" si="2"/>
        <v>218367.33462984915</v>
      </c>
      <c r="S28" s="70">
        <f t="shared" si="7"/>
        <v>15688988.160484554</v>
      </c>
      <c r="T28" s="35">
        <f t="shared" si="3"/>
        <v>158430</v>
      </c>
      <c r="U28" s="70">
        <f t="shared" si="8"/>
        <v>40249.110587046242</v>
      </c>
      <c r="V28" s="35">
        <f t="shared" si="4"/>
        <v>203920</v>
      </c>
      <c r="W28" s="71">
        <f t="shared" si="9"/>
        <v>15408.140730495028</v>
      </c>
      <c r="X28" s="35">
        <f t="shared" si="5"/>
        <v>15744645.411802094</v>
      </c>
      <c r="Y28" s="72">
        <f t="shared" si="10"/>
        <v>15744.645411802094</v>
      </c>
      <c r="Z28" s="72">
        <f t="shared" si="11"/>
        <v>393616.13529505237</v>
      </c>
    </row>
    <row r="29" spans="1:26" ht="15" customHeight="1" x14ac:dyDescent="0.2">
      <c r="A29" s="22" t="s">
        <v>46</v>
      </c>
      <c r="B29" s="25">
        <v>4552320</v>
      </c>
      <c r="C29" s="25">
        <v>0</v>
      </c>
      <c r="D29" s="25">
        <v>0</v>
      </c>
      <c r="E29" s="25">
        <v>0</v>
      </c>
      <c r="F29" s="25">
        <v>0</v>
      </c>
      <c r="G29" s="25">
        <v>44130</v>
      </c>
      <c r="H29" s="25">
        <v>6860</v>
      </c>
      <c r="I29" s="25">
        <v>0</v>
      </c>
      <c r="J29" s="25">
        <v>0</v>
      </c>
      <c r="K29" s="25">
        <v>3141</v>
      </c>
      <c r="L29" s="25"/>
      <c r="M29" s="25">
        <v>221149.95448052828</v>
      </c>
      <c r="N29" s="91"/>
      <c r="O29" s="35">
        <f t="shared" si="0"/>
        <v>4773469.9544805279</v>
      </c>
      <c r="P29" s="35">
        <f t="shared" si="1"/>
        <v>0</v>
      </c>
      <c r="Q29" s="35">
        <f t="shared" si="6"/>
        <v>4773469.9544805279</v>
      </c>
      <c r="R29" s="72">
        <f t="shared" si="2"/>
        <v>65527.542350815093</v>
      </c>
      <c r="S29" s="70">
        <f t="shared" si="7"/>
        <v>4707942.4121297132</v>
      </c>
      <c r="T29" s="35">
        <f t="shared" si="3"/>
        <v>6860</v>
      </c>
      <c r="U29" s="70">
        <f t="shared" si="8"/>
        <v>1742.7816614728094</v>
      </c>
      <c r="V29" s="35">
        <f t="shared" si="4"/>
        <v>44130</v>
      </c>
      <c r="W29" s="71">
        <f t="shared" si="9"/>
        <v>3334.4510123418281</v>
      </c>
      <c r="X29" s="35">
        <f t="shared" si="5"/>
        <v>4713019.6448035287</v>
      </c>
      <c r="Y29" s="72">
        <f t="shared" si="10"/>
        <v>4713.0196448035285</v>
      </c>
      <c r="Z29" s="72">
        <f t="shared" si="11"/>
        <v>117825.49112008822</v>
      </c>
    </row>
    <row r="30" spans="1:26" ht="15" customHeight="1" x14ac:dyDescent="0.2">
      <c r="A30" s="22" t="s">
        <v>47</v>
      </c>
      <c r="B30" s="25">
        <v>6907310</v>
      </c>
      <c r="C30" s="25">
        <v>0</v>
      </c>
      <c r="D30" s="25">
        <v>0</v>
      </c>
      <c r="E30" s="25">
        <v>8771040</v>
      </c>
      <c r="F30" s="25">
        <v>2229920</v>
      </c>
      <c r="G30" s="25">
        <v>345330</v>
      </c>
      <c r="H30" s="25">
        <v>179690</v>
      </c>
      <c r="I30" s="25">
        <v>0</v>
      </c>
      <c r="J30" s="25">
        <v>403370</v>
      </c>
      <c r="K30" s="25">
        <v>2941</v>
      </c>
      <c r="L30" s="25"/>
      <c r="M30" s="25">
        <v>895376.5654692502</v>
      </c>
      <c r="N30" s="91"/>
      <c r="O30" s="35">
        <f t="shared" si="0"/>
        <v>16573726.56546925</v>
      </c>
      <c r="P30" s="35">
        <f t="shared" si="1"/>
        <v>2633290</v>
      </c>
      <c r="Q30" s="35">
        <f t="shared" si="6"/>
        <v>19207016.56546925</v>
      </c>
      <c r="R30" s="72">
        <f t="shared" si="2"/>
        <v>263663.24779005733</v>
      </c>
      <c r="S30" s="70">
        <f t="shared" si="7"/>
        <v>18943353.317679193</v>
      </c>
      <c r="T30" s="35">
        <f t="shared" si="3"/>
        <v>179690</v>
      </c>
      <c r="U30" s="70">
        <f t="shared" si="8"/>
        <v>45650.209438782673</v>
      </c>
      <c r="V30" s="35">
        <f t="shared" si="4"/>
        <v>345330</v>
      </c>
      <c r="W30" s="71">
        <f t="shared" si="9"/>
        <v>26093.042558169123</v>
      </c>
      <c r="X30" s="35">
        <f t="shared" si="5"/>
        <v>19015096.569676146</v>
      </c>
      <c r="Y30" s="72">
        <f t="shared" si="10"/>
        <v>19015.096569676145</v>
      </c>
      <c r="Z30" s="72">
        <f t="shared" si="11"/>
        <v>475377.41424190364</v>
      </c>
    </row>
    <row r="31" spans="1:26" ht="25.5" customHeight="1" x14ac:dyDescent="0.2">
      <c r="A31" s="22" t="s">
        <v>48</v>
      </c>
      <c r="B31" s="25">
        <v>6190480</v>
      </c>
      <c r="C31" s="25">
        <v>0</v>
      </c>
      <c r="D31" s="25">
        <v>0</v>
      </c>
      <c r="E31" s="25">
        <v>8790180</v>
      </c>
      <c r="F31" s="25">
        <v>705210</v>
      </c>
      <c r="G31" s="25">
        <v>256310</v>
      </c>
      <c r="H31" s="25">
        <v>204210</v>
      </c>
      <c r="I31" s="25">
        <v>19590</v>
      </c>
      <c r="J31" s="25">
        <v>0</v>
      </c>
      <c r="K31" s="25">
        <v>3718</v>
      </c>
      <c r="L31" s="25"/>
      <c r="M31" s="25">
        <v>740221.75116575498</v>
      </c>
      <c r="N31" s="91"/>
      <c r="O31" s="35">
        <f t="shared" si="0"/>
        <v>15720881.751165755</v>
      </c>
      <c r="P31" s="35">
        <f t="shared" si="1"/>
        <v>705210</v>
      </c>
      <c r="Q31" s="35">
        <f t="shared" si="6"/>
        <v>16426091.751165755</v>
      </c>
      <c r="R31" s="72">
        <f t="shared" si="2"/>
        <v>225488.257629564</v>
      </c>
      <c r="S31" s="70">
        <f t="shared" si="7"/>
        <v>16200603.493536191</v>
      </c>
      <c r="T31" s="35">
        <f t="shared" si="3"/>
        <v>223800</v>
      </c>
      <c r="U31" s="70">
        <f t="shared" si="8"/>
        <v>56856.346332013811</v>
      </c>
      <c r="V31" s="35">
        <f t="shared" si="4"/>
        <v>256310</v>
      </c>
      <c r="W31" s="71">
        <f t="shared" si="9"/>
        <v>19366.715136490686</v>
      </c>
      <c r="X31" s="35">
        <f t="shared" si="5"/>
        <v>16276826.555004695</v>
      </c>
      <c r="Y31" s="72">
        <f t="shared" si="10"/>
        <v>16276.826555004696</v>
      </c>
      <c r="Z31" s="72">
        <f t="shared" si="11"/>
        <v>406920.66387511743</v>
      </c>
    </row>
    <row r="32" spans="1:26" ht="15" customHeight="1" x14ac:dyDescent="0.2">
      <c r="A32" s="22" t="s">
        <v>49</v>
      </c>
      <c r="B32" s="25">
        <v>24968520</v>
      </c>
      <c r="C32" s="25">
        <v>0</v>
      </c>
      <c r="D32" s="25">
        <v>0</v>
      </c>
      <c r="E32" s="25">
        <v>0</v>
      </c>
      <c r="F32" s="25">
        <v>0</v>
      </c>
      <c r="G32" s="25">
        <v>198840</v>
      </c>
      <c r="H32" s="25">
        <v>124640</v>
      </c>
      <c r="I32" s="25">
        <v>0</v>
      </c>
      <c r="J32" s="25">
        <v>0</v>
      </c>
      <c r="K32" s="25">
        <v>3697</v>
      </c>
      <c r="L32" s="25"/>
      <c r="M32" s="25">
        <v>755159.57117065915</v>
      </c>
      <c r="N32" s="91"/>
      <c r="O32" s="35">
        <f t="shared" si="0"/>
        <v>25723679.571170658</v>
      </c>
      <c r="P32" s="35">
        <f t="shared" si="1"/>
        <v>0</v>
      </c>
      <c r="Q32" s="35">
        <f t="shared" si="6"/>
        <v>25723679.571170658</v>
      </c>
      <c r="R32" s="72">
        <f t="shared" si="2"/>
        <v>353120.37544858042</v>
      </c>
      <c r="S32" s="70">
        <f t="shared" si="7"/>
        <v>25370559.195722077</v>
      </c>
      <c r="T32" s="35">
        <f t="shared" si="3"/>
        <v>124640</v>
      </c>
      <c r="U32" s="70">
        <f t="shared" si="8"/>
        <v>31664.767680170695</v>
      </c>
      <c r="V32" s="35">
        <f t="shared" si="4"/>
        <v>198840</v>
      </c>
      <c r="W32" s="71">
        <f t="shared" si="9"/>
        <v>15024.297287424633</v>
      </c>
      <c r="X32" s="35">
        <f t="shared" si="5"/>
        <v>25417248.260689672</v>
      </c>
      <c r="Y32" s="72">
        <f t="shared" si="10"/>
        <v>25417.248260689674</v>
      </c>
      <c r="Z32" s="72">
        <f t="shared" si="11"/>
        <v>635431.2065172419</v>
      </c>
    </row>
    <row r="33" spans="1:26" ht="15" customHeight="1" x14ac:dyDescent="0.2">
      <c r="A33" s="22" t="s">
        <v>50</v>
      </c>
      <c r="B33" s="25">
        <v>3541790</v>
      </c>
      <c r="C33" s="25">
        <v>0</v>
      </c>
      <c r="D33" s="25">
        <v>0</v>
      </c>
      <c r="E33" s="25">
        <v>6404005</v>
      </c>
      <c r="F33" s="25">
        <v>0</v>
      </c>
      <c r="G33" s="25">
        <v>10410</v>
      </c>
      <c r="H33" s="25">
        <v>0</v>
      </c>
      <c r="I33" s="25">
        <v>0</v>
      </c>
      <c r="J33" s="25">
        <v>0</v>
      </c>
      <c r="K33" s="25">
        <v>0</v>
      </c>
      <c r="L33" s="25"/>
      <c r="M33" s="25">
        <v>259594.69509575103</v>
      </c>
      <c r="N33" s="91"/>
      <c r="O33" s="35">
        <f t="shared" si="0"/>
        <v>10205389.695095751</v>
      </c>
      <c r="P33" s="35">
        <f t="shared" si="1"/>
        <v>0</v>
      </c>
      <c r="Q33" s="35">
        <f t="shared" si="6"/>
        <v>10205389.695095751</v>
      </c>
      <c r="R33" s="72">
        <f t="shared" si="2"/>
        <v>140093.91738692395</v>
      </c>
      <c r="S33" s="70">
        <f t="shared" si="7"/>
        <v>10065295.777708827</v>
      </c>
      <c r="T33" s="35">
        <f t="shared" si="3"/>
        <v>0</v>
      </c>
      <c r="U33" s="70">
        <f t="shared" si="8"/>
        <v>0</v>
      </c>
      <c r="V33" s="35">
        <f t="shared" si="4"/>
        <v>10410</v>
      </c>
      <c r="W33" s="71">
        <f t="shared" si="9"/>
        <v>786.57681936275617</v>
      </c>
      <c r="X33" s="35">
        <f t="shared" si="5"/>
        <v>10066082.354528189</v>
      </c>
      <c r="Y33" s="72">
        <f t="shared" si="10"/>
        <v>10066.082354528189</v>
      </c>
      <c r="Z33" s="72">
        <f t="shared" si="11"/>
        <v>251652.05886320473</v>
      </c>
    </row>
    <row r="34" spans="1:26" ht="15" customHeight="1" x14ac:dyDescent="0.2">
      <c r="A34" s="22" t="s">
        <v>51</v>
      </c>
      <c r="B34" s="25">
        <v>10288990</v>
      </c>
      <c r="C34" s="25">
        <v>0</v>
      </c>
      <c r="D34" s="25">
        <v>0</v>
      </c>
      <c r="E34" s="25">
        <v>0</v>
      </c>
      <c r="F34" s="25">
        <v>0</v>
      </c>
      <c r="G34" s="25">
        <v>44080</v>
      </c>
      <c r="H34" s="25">
        <v>113790</v>
      </c>
      <c r="I34" s="25">
        <v>0</v>
      </c>
      <c r="J34" s="25">
        <v>0</v>
      </c>
      <c r="K34" s="25">
        <v>0</v>
      </c>
      <c r="L34" s="25"/>
      <c r="M34" s="25">
        <v>659844.50942243903</v>
      </c>
      <c r="N34" s="92"/>
      <c r="O34" s="35">
        <f t="shared" si="0"/>
        <v>10948834.509422438</v>
      </c>
      <c r="P34" s="35">
        <f t="shared" si="1"/>
        <v>0</v>
      </c>
      <c r="Q34" s="35">
        <f t="shared" si="6"/>
        <v>10948834.509422438</v>
      </c>
      <c r="R34" s="72">
        <f t="shared" si="2"/>
        <v>150299.51457740366</v>
      </c>
      <c r="S34" s="70">
        <f t="shared" si="7"/>
        <v>10798534.994845035</v>
      </c>
      <c r="T34" s="35">
        <f t="shared" si="3"/>
        <v>113790</v>
      </c>
      <c r="U34" s="70">
        <f t="shared" si="8"/>
        <v>28908.327297229007</v>
      </c>
      <c r="V34" s="35">
        <f t="shared" si="4"/>
        <v>44080</v>
      </c>
      <c r="W34" s="71">
        <f t="shared" si="9"/>
        <v>3330.6730256974342</v>
      </c>
      <c r="X34" s="35">
        <f t="shared" si="5"/>
        <v>10830773.995167961</v>
      </c>
      <c r="Y34" s="72">
        <f t="shared" si="10"/>
        <v>10830.773995167961</v>
      </c>
      <c r="Z34" s="72">
        <f t="shared" si="11"/>
        <v>270769.34987919906</v>
      </c>
    </row>
    <row r="35" spans="1:26" ht="15" customHeight="1" x14ac:dyDescent="0.2">
      <c r="A35" s="22" t="s">
        <v>52</v>
      </c>
      <c r="B35" s="25">
        <v>1300980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/>
      <c r="M35" s="25">
        <v>84557.724213096924</v>
      </c>
      <c r="N35" s="92"/>
      <c r="O35" s="35">
        <f t="shared" si="0"/>
        <v>1385537.724213097</v>
      </c>
      <c r="P35" s="35">
        <f t="shared" si="1"/>
        <v>0</v>
      </c>
      <c r="Q35" s="35">
        <f t="shared" si="6"/>
        <v>1385537.724213097</v>
      </c>
      <c r="R35" s="72">
        <f t="shared" si="2"/>
        <v>19019.891770096197</v>
      </c>
      <c r="S35" s="70">
        <f t="shared" si="7"/>
        <v>1366517.8324430007</v>
      </c>
      <c r="T35" s="35">
        <f t="shared" si="3"/>
        <v>0</v>
      </c>
      <c r="U35" s="70">
        <f t="shared" si="8"/>
        <v>0</v>
      </c>
      <c r="V35" s="35">
        <f t="shared" si="4"/>
        <v>0</v>
      </c>
      <c r="W35" s="71">
        <f t="shared" si="9"/>
        <v>0</v>
      </c>
      <c r="X35" s="35">
        <f t="shared" si="5"/>
        <v>1366517.8324430007</v>
      </c>
      <c r="Y35" s="72">
        <f t="shared" si="10"/>
        <v>1366.5178324430008</v>
      </c>
      <c r="Z35" s="72">
        <f t="shared" si="11"/>
        <v>34162.94581107502</v>
      </c>
    </row>
    <row r="36" spans="1:26" ht="15" customHeight="1" x14ac:dyDescent="0.2">
      <c r="A36" s="22" t="s">
        <v>53</v>
      </c>
      <c r="B36" s="25">
        <v>6650880</v>
      </c>
      <c r="C36" s="25">
        <v>0</v>
      </c>
      <c r="D36" s="25">
        <v>0</v>
      </c>
      <c r="E36" s="25">
        <v>0</v>
      </c>
      <c r="F36" s="25">
        <v>4940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/>
      <c r="M36" s="25">
        <v>309622.57602886274</v>
      </c>
      <c r="N36" s="92"/>
      <c r="O36" s="35">
        <f t="shared" ref="O36:O69" si="12">B36+C36+D36+E36+M36</f>
        <v>6960502.576028863</v>
      </c>
      <c r="P36" s="35">
        <f t="shared" ref="P36:P69" si="13">F36+J36</f>
        <v>4940</v>
      </c>
      <c r="Q36" s="35">
        <f t="shared" si="6"/>
        <v>6965442.576028863</v>
      </c>
      <c r="R36" s="72">
        <f t="shared" si="2"/>
        <v>95617.724159860678</v>
      </c>
      <c r="S36" s="70">
        <f t="shared" si="7"/>
        <v>6869824.851869002</v>
      </c>
      <c r="T36" s="35">
        <f t="shared" ref="T36:T69" si="14">H36+I36</f>
        <v>0</v>
      </c>
      <c r="U36" s="70">
        <f t="shared" si="8"/>
        <v>0</v>
      </c>
      <c r="V36" s="35">
        <f t="shared" ref="V36:V69" si="15">G36</f>
        <v>0</v>
      </c>
      <c r="W36" s="71">
        <f t="shared" si="9"/>
        <v>0</v>
      </c>
      <c r="X36" s="35">
        <f t="shared" ref="X36:X67" si="16">S36+U36+W36</f>
        <v>6869824.851869002</v>
      </c>
      <c r="Y36" s="72">
        <f t="shared" si="10"/>
        <v>6869.8248518690016</v>
      </c>
      <c r="Z36" s="72">
        <f t="shared" si="11"/>
        <v>171745.62129672503</v>
      </c>
    </row>
    <row r="37" spans="1:26" ht="25.5" customHeight="1" x14ac:dyDescent="0.2">
      <c r="A37" s="22" t="s">
        <v>54</v>
      </c>
      <c r="B37" s="25">
        <v>5352510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8320</v>
      </c>
      <c r="K37" s="25">
        <v>0</v>
      </c>
      <c r="L37" s="25"/>
      <c r="M37" s="25">
        <v>376111.52645607543</v>
      </c>
      <c r="N37" s="92"/>
      <c r="O37" s="35">
        <f t="shared" si="12"/>
        <v>5728621.5264560757</v>
      </c>
      <c r="P37" s="35">
        <f t="shared" si="13"/>
        <v>8320</v>
      </c>
      <c r="Q37" s="35">
        <f t="shared" si="6"/>
        <v>5736941.5264560757</v>
      </c>
      <c r="R37" s="72">
        <f t="shared" si="2"/>
        <v>78753.544575292195</v>
      </c>
      <c r="S37" s="70">
        <f t="shared" si="7"/>
        <v>5658187.9818807831</v>
      </c>
      <c r="T37" s="35">
        <f t="shared" si="14"/>
        <v>0</v>
      </c>
      <c r="U37" s="70">
        <f t="shared" si="8"/>
        <v>0</v>
      </c>
      <c r="V37" s="35">
        <f t="shared" si="15"/>
        <v>0</v>
      </c>
      <c r="W37" s="71">
        <f t="shared" si="9"/>
        <v>0</v>
      </c>
      <c r="X37" s="35">
        <f t="shared" si="16"/>
        <v>5658187.9818807831</v>
      </c>
      <c r="Y37" s="72">
        <f t="shared" si="10"/>
        <v>5658.1879818807829</v>
      </c>
      <c r="Z37" s="72">
        <f t="shared" si="11"/>
        <v>141454.69954701958</v>
      </c>
    </row>
    <row r="38" spans="1:26" ht="12.75" customHeight="1" x14ac:dyDescent="0.2">
      <c r="A38" s="22" t="s">
        <v>55</v>
      </c>
      <c r="B38" s="25">
        <v>5005610</v>
      </c>
      <c r="C38" s="25">
        <v>0</v>
      </c>
      <c r="D38" s="25">
        <v>19150</v>
      </c>
      <c r="E38" s="25">
        <v>0</v>
      </c>
      <c r="F38" s="25">
        <v>0</v>
      </c>
      <c r="G38" s="25">
        <v>92500</v>
      </c>
      <c r="H38" s="25">
        <v>0</v>
      </c>
      <c r="I38" s="25">
        <v>0</v>
      </c>
      <c r="J38" s="25">
        <v>0</v>
      </c>
      <c r="K38" s="25">
        <v>1165</v>
      </c>
      <c r="L38" s="25"/>
      <c r="M38" s="25">
        <v>85640.296229768908</v>
      </c>
      <c r="N38" s="92"/>
      <c r="O38" s="35">
        <f t="shared" si="12"/>
        <v>5110400.2962297685</v>
      </c>
      <c r="P38" s="35">
        <f t="shared" si="13"/>
        <v>0</v>
      </c>
      <c r="Q38" s="35">
        <f t="shared" si="6"/>
        <v>5110400.2962297685</v>
      </c>
      <c r="R38" s="72">
        <f t="shared" si="2"/>
        <v>70152.734810133843</v>
      </c>
      <c r="S38" s="70">
        <f t="shared" si="7"/>
        <v>5040247.5614196351</v>
      </c>
      <c r="T38" s="35">
        <f t="shared" si="14"/>
        <v>0</v>
      </c>
      <c r="U38" s="70">
        <f t="shared" si="8"/>
        <v>0</v>
      </c>
      <c r="V38" s="35">
        <f t="shared" si="15"/>
        <v>92500</v>
      </c>
      <c r="W38" s="71">
        <f t="shared" si="9"/>
        <v>6989.2752921282372</v>
      </c>
      <c r="X38" s="35">
        <f t="shared" si="16"/>
        <v>5047236.8367117634</v>
      </c>
      <c r="Y38" s="72">
        <f t="shared" si="10"/>
        <v>5047.2368367117633</v>
      </c>
      <c r="Z38" s="72">
        <f t="shared" si="11"/>
        <v>126180.92091779408</v>
      </c>
    </row>
    <row r="39" spans="1:26" ht="16.5" customHeight="1" x14ac:dyDescent="0.2">
      <c r="A39" s="22" t="s">
        <v>56</v>
      </c>
      <c r="B39" s="25">
        <v>10555350</v>
      </c>
      <c r="C39" s="25">
        <v>0</v>
      </c>
      <c r="D39" s="25">
        <v>786830</v>
      </c>
      <c r="E39" s="25">
        <v>0</v>
      </c>
      <c r="F39" s="25">
        <v>0</v>
      </c>
      <c r="G39" s="25">
        <v>5380</v>
      </c>
      <c r="H39" s="25">
        <v>45830</v>
      </c>
      <c r="I39" s="25">
        <v>0</v>
      </c>
      <c r="J39" s="25">
        <v>0</v>
      </c>
      <c r="K39" s="25">
        <v>0</v>
      </c>
      <c r="L39" s="25"/>
      <c r="M39" s="25">
        <v>242862.27687737197</v>
      </c>
      <c r="N39" s="92"/>
      <c r="O39" s="35">
        <f t="shared" si="12"/>
        <v>11585042.276877372</v>
      </c>
      <c r="P39" s="35">
        <f t="shared" si="13"/>
        <v>0</v>
      </c>
      <c r="Q39" s="35">
        <f t="shared" si="6"/>
        <v>11585042.276877372</v>
      </c>
      <c r="R39" s="72">
        <f t="shared" si="2"/>
        <v>159033.02119279359</v>
      </c>
      <c r="S39" s="70">
        <f t="shared" si="7"/>
        <v>11426009.255684579</v>
      </c>
      <c r="T39" s="35">
        <f t="shared" si="14"/>
        <v>45830</v>
      </c>
      <c r="U39" s="70">
        <f t="shared" si="8"/>
        <v>11643.102557623741</v>
      </c>
      <c r="V39" s="35">
        <f t="shared" si="15"/>
        <v>5380</v>
      </c>
      <c r="W39" s="71">
        <f t="shared" si="9"/>
        <v>406.5113629367558</v>
      </c>
      <c r="X39" s="35">
        <f t="shared" si="16"/>
        <v>11438058.869605139</v>
      </c>
      <c r="Y39" s="72">
        <f t="shared" si="10"/>
        <v>11438.058869605138</v>
      </c>
      <c r="Z39" s="72">
        <f t="shared" si="11"/>
        <v>285951.47174012847</v>
      </c>
    </row>
    <row r="40" spans="1:26" ht="30" customHeight="1" x14ac:dyDescent="0.2">
      <c r="A40" s="22" t="s">
        <v>57</v>
      </c>
      <c r="B40" s="25">
        <v>7535670</v>
      </c>
      <c r="C40" s="25">
        <v>1271730</v>
      </c>
      <c r="D40" s="25">
        <v>0</v>
      </c>
      <c r="E40" s="25">
        <v>0</v>
      </c>
      <c r="F40" s="25">
        <v>0</v>
      </c>
      <c r="G40" s="25">
        <v>75980</v>
      </c>
      <c r="H40" s="25">
        <v>65150</v>
      </c>
      <c r="I40" s="25">
        <v>0</v>
      </c>
      <c r="J40" s="25">
        <v>0</v>
      </c>
      <c r="K40" s="25">
        <v>0</v>
      </c>
      <c r="L40" s="25"/>
      <c r="M40" s="25">
        <v>389547.54249207844</v>
      </c>
      <c r="N40" s="92"/>
      <c r="O40" s="35">
        <f t="shared" si="12"/>
        <v>9196947.5424920786</v>
      </c>
      <c r="P40" s="35">
        <f t="shared" si="13"/>
        <v>0</v>
      </c>
      <c r="Q40" s="35">
        <f t="shared" si="6"/>
        <v>9196947.5424920786</v>
      </c>
      <c r="R40" s="72">
        <f t="shared" si="2"/>
        <v>126250.58402707765</v>
      </c>
      <c r="S40" s="70">
        <f t="shared" si="7"/>
        <v>9070696.9584650006</v>
      </c>
      <c r="T40" s="35">
        <f t="shared" si="14"/>
        <v>65150</v>
      </c>
      <c r="U40" s="70">
        <f t="shared" si="8"/>
        <v>16551.344787894101</v>
      </c>
      <c r="V40" s="35">
        <f t="shared" si="15"/>
        <v>75980</v>
      </c>
      <c r="W40" s="71">
        <f t="shared" si="9"/>
        <v>5741.0285048205778</v>
      </c>
      <c r="X40" s="35">
        <f t="shared" si="16"/>
        <v>9092989.331757715</v>
      </c>
      <c r="Y40" s="72">
        <f t="shared" si="10"/>
        <v>9092.9893317577153</v>
      </c>
      <c r="Z40" s="72">
        <f t="shared" si="11"/>
        <v>227324.73329394287</v>
      </c>
    </row>
    <row r="41" spans="1:26" ht="15" customHeight="1" x14ac:dyDescent="0.2">
      <c r="A41" s="22" t="s">
        <v>58</v>
      </c>
      <c r="B41" s="25">
        <v>7757900</v>
      </c>
      <c r="C41" s="25">
        <v>387450</v>
      </c>
      <c r="D41" s="25">
        <v>0</v>
      </c>
      <c r="E41" s="25">
        <v>0</v>
      </c>
      <c r="F41" s="25">
        <v>0</v>
      </c>
      <c r="G41" s="25">
        <v>0</v>
      </c>
      <c r="H41" s="25">
        <v>99750</v>
      </c>
      <c r="I41" s="25">
        <v>0</v>
      </c>
      <c r="J41" s="25">
        <v>0</v>
      </c>
      <c r="K41" s="25">
        <v>0</v>
      </c>
      <c r="L41" s="25"/>
      <c r="M41" s="25">
        <v>354017.99961708771</v>
      </c>
      <c r="N41" s="90"/>
      <c r="O41" s="35">
        <f t="shared" si="12"/>
        <v>8499367.9996170886</v>
      </c>
      <c r="P41" s="35">
        <f t="shared" si="13"/>
        <v>0</v>
      </c>
      <c r="Q41" s="35">
        <f t="shared" si="6"/>
        <v>8499367.9996170886</v>
      </c>
      <c r="R41" s="72">
        <f t="shared" si="2"/>
        <v>116674.59979030715</v>
      </c>
      <c r="S41" s="70">
        <f t="shared" si="7"/>
        <v>8382693.3998267818</v>
      </c>
      <c r="T41" s="35">
        <f t="shared" si="14"/>
        <v>99750</v>
      </c>
      <c r="U41" s="70">
        <f t="shared" si="8"/>
        <v>25341.468036721973</v>
      </c>
      <c r="V41" s="35">
        <f t="shared" si="15"/>
        <v>0</v>
      </c>
      <c r="W41" s="71">
        <f t="shared" si="9"/>
        <v>0</v>
      </c>
      <c r="X41" s="35">
        <f t="shared" si="16"/>
        <v>8408034.8678635042</v>
      </c>
      <c r="Y41" s="72">
        <f t="shared" si="10"/>
        <v>8408.0348678635037</v>
      </c>
      <c r="Z41" s="72">
        <f t="shared" si="11"/>
        <v>210200.87169658759</v>
      </c>
    </row>
    <row r="42" spans="1:26" ht="15" customHeight="1" x14ac:dyDescent="0.2">
      <c r="A42" s="22" t="s">
        <v>59</v>
      </c>
      <c r="B42" s="25">
        <v>6893040</v>
      </c>
      <c r="C42" s="25">
        <v>0</v>
      </c>
      <c r="D42" s="25">
        <v>0</v>
      </c>
      <c r="E42" s="25">
        <v>0</v>
      </c>
      <c r="F42" s="25">
        <v>183800</v>
      </c>
      <c r="G42" s="25">
        <v>115570</v>
      </c>
      <c r="H42" s="25">
        <v>58350</v>
      </c>
      <c r="I42" s="25">
        <v>1430</v>
      </c>
      <c r="J42" s="25">
        <v>93570</v>
      </c>
      <c r="K42" s="25">
        <v>2681</v>
      </c>
      <c r="L42" s="25"/>
      <c r="M42" s="25">
        <v>501631.65026247402</v>
      </c>
      <c r="N42" s="92"/>
      <c r="O42" s="35">
        <f t="shared" si="12"/>
        <v>7394671.6502624741</v>
      </c>
      <c r="P42" s="35">
        <f t="shared" si="13"/>
        <v>277370</v>
      </c>
      <c r="Q42" s="35">
        <f t="shared" si="6"/>
        <v>7672041.6502624741</v>
      </c>
      <c r="R42" s="72">
        <f t="shared" si="2"/>
        <v>105317.52350989734</v>
      </c>
      <c r="S42" s="70">
        <f t="shared" si="7"/>
        <v>7566724.1267525768</v>
      </c>
      <c r="T42" s="35">
        <f t="shared" si="14"/>
        <v>59780</v>
      </c>
      <c r="U42" s="70">
        <f t="shared" si="8"/>
        <v>15187.097335691626</v>
      </c>
      <c r="V42" s="35">
        <f t="shared" si="15"/>
        <v>115570</v>
      </c>
      <c r="W42" s="71">
        <f t="shared" si="9"/>
        <v>8732.4383298514622</v>
      </c>
      <c r="X42" s="35">
        <f t="shared" si="16"/>
        <v>7590643.6624181196</v>
      </c>
      <c r="Y42" s="72">
        <f t="shared" si="10"/>
        <v>7590.6436624181197</v>
      </c>
      <c r="Z42" s="72">
        <f t="shared" si="11"/>
        <v>189766.091560453</v>
      </c>
    </row>
    <row r="43" spans="1:26" ht="15" customHeight="1" x14ac:dyDescent="0.2">
      <c r="A43" s="22" t="s">
        <v>60</v>
      </c>
      <c r="B43" s="25">
        <v>3811370</v>
      </c>
      <c r="C43" s="25">
        <v>0</v>
      </c>
      <c r="D43" s="25">
        <v>295190</v>
      </c>
      <c r="E43" s="25">
        <v>2778350</v>
      </c>
      <c r="F43" s="25">
        <v>1777490</v>
      </c>
      <c r="G43" s="25">
        <v>293920</v>
      </c>
      <c r="H43" s="25">
        <v>582900</v>
      </c>
      <c r="I43" s="25">
        <v>0</v>
      </c>
      <c r="J43" s="25">
        <v>0</v>
      </c>
      <c r="K43" s="25">
        <v>2661</v>
      </c>
      <c r="L43" s="25"/>
      <c r="M43" s="25">
        <v>538782.15484060626</v>
      </c>
      <c r="N43" s="92"/>
      <c r="O43" s="35">
        <f t="shared" si="12"/>
        <v>7423692.1548406063</v>
      </c>
      <c r="P43" s="35">
        <f t="shared" si="13"/>
        <v>1777490</v>
      </c>
      <c r="Q43" s="35">
        <f t="shared" si="6"/>
        <v>9201182.1548406072</v>
      </c>
      <c r="R43" s="72">
        <f t="shared" si="2"/>
        <v>126308.71443172114</v>
      </c>
      <c r="S43" s="70">
        <f t="shared" si="7"/>
        <v>9074873.4404088855</v>
      </c>
      <c r="T43" s="35">
        <f t="shared" si="14"/>
        <v>582900</v>
      </c>
      <c r="U43" s="70">
        <f t="shared" si="8"/>
        <v>148085.63126421292</v>
      </c>
      <c r="V43" s="35">
        <f t="shared" si="15"/>
        <v>293920</v>
      </c>
      <c r="W43" s="71">
        <f t="shared" si="9"/>
        <v>22208.516690403583</v>
      </c>
      <c r="X43" s="35">
        <f t="shared" si="16"/>
        <v>9245167.5883635022</v>
      </c>
      <c r="Y43" s="72">
        <f t="shared" si="10"/>
        <v>9245.1675883635016</v>
      </c>
      <c r="Z43" s="72">
        <f t="shared" si="11"/>
        <v>231129.18970908754</v>
      </c>
    </row>
    <row r="44" spans="1:26" ht="15" customHeight="1" x14ac:dyDescent="0.2">
      <c r="A44" s="22" t="s">
        <v>61</v>
      </c>
      <c r="B44" s="25">
        <v>10025810</v>
      </c>
      <c r="C44" s="25">
        <v>0</v>
      </c>
      <c r="D44" s="25">
        <v>0</v>
      </c>
      <c r="E44" s="25">
        <v>0</v>
      </c>
      <c r="F44" s="25">
        <v>2065970</v>
      </c>
      <c r="G44" s="25">
        <v>147680</v>
      </c>
      <c r="H44" s="25">
        <v>119150</v>
      </c>
      <c r="I44" s="25">
        <v>20570</v>
      </c>
      <c r="J44" s="25">
        <v>6690</v>
      </c>
      <c r="K44" s="25">
        <v>0</v>
      </c>
      <c r="L44" s="25"/>
      <c r="M44" s="25">
        <v>642264.44469565363</v>
      </c>
      <c r="N44" s="92"/>
      <c r="O44" s="35">
        <f t="shared" si="12"/>
        <v>10668074.444695653</v>
      </c>
      <c r="P44" s="35">
        <f t="shared" si="13"/>
        <v>2072660</v>
      </c>
      <c r="Q44" s="35">
        <f t="shared" si="6"/>
        <v>12740734.444695653</v>
      </c>
      <c r="R44" s="72">
        <f t="shared" si="2"/>
        <v>174897.72091718076</v>
      </c>
      <c r="S44" s="70">
        <f t="shared" si="7"/>
        <v>12565836.723778473</v>
      </c>
      <c r="T44" s="35">
        <f t="shared" si="14"/>
        <v>139720</v>
      </c>
      <c r="U44" s="70">
        <f t="shared" si="8"/>
        <v>35495.838737752325</v>
      </c>
      <c r="V44" s="35">
        <f t="shared" si="15"/>
        <v>147680</v>
      </c>
      <c r="W44" s="71">
        <f t="shared" si="9"/>
        <v>11158.661352881059</v>
      </c>
      <c r="X44" s="35">
        <f t="shared" si="16"/>
        <v>12612491.223869106</v>
      </c>
      <c r="Y44" s="72">
        <f t="shared" si="10"/>
        <v>12612.491223869105</v>
      </c>
      <c r="Z44" s="72">
        <f t="shared" si="11"/>
        <v>315312.28059672762</v>
      </c>
    </row>
    <row r="45" spans="1:26" ht="15" customHeight="1" x14ac:dyDescent="0.2">
      <c r="A45" s="22" t="s">
        <v>62</v>
      </c>
      <c r="B45" s="25">
        <v>11746280</v>
      </c>
      <c r="C45" s="25">
        <v>0</v>
      </c>
      <c r="D45" s="25">
        <v>0</v>
      </c>
      <c r="E45" s="25">
        <v>1606110</v>
      </c>
      <c r="F45" s="25">
        <v>0</v>
      </c>
      <c r="G45" s="25">
        <v>12350</v>
      </c>
      <c r="H45" s="25">
        <v>97320</v>
      </c>
      <c r="I45" s="25">
        <v>0</v>
      </c>
      <c r="J45" s="25">
        <v>0</v>
      </c>
      <c r="K45" s="25">
        <v>4547</v>
      </c>
      <c r="L45" s="25"/>
      <c r="M45" s="25">
        <v>292911.19082923076</v>
      </c>
      <c r="N45" s="92"/>
      <c r="O45" s="35">
        <f t="shared" si="12"/>
        <v>13645301.19082923</v>
      </c>
      <c r="P45" s="35">
        <f t="shared" si="13"/>
        <v>0</v>
      </c>
      <c r="Q45" s="35">
        <f t="shared" si="6"/>
        <v>13645301.19082923</v>
      </c>
      <c r="R45" s="72">
        <f t="shared" si="2"/>
        <v>187315.11043290832</v>
      </c>
      <c r="S45" s="70">
        <f t="shared" si="7"/>
        <v>13457986.080396323</v>
      </c>
      <c r="T45" s="35">
        <f t="shared" si="14"/>
        <v>97320</v>
      </c>
      <c r="U45" s="70">
        <f t="shared" si="8"/>
        <v>24724.127010864988</v>
      </c>
      <c r="V45" s="35">
        <f t="shared" si="15"/>
        <v>12350</v>
      </c>
      <c r="W45" s="71">
        <f t="shared" si="9"/>
        <v>933.16270116522946</v>
      </c>
      <c r="X45" s="35">
        <f t="shared" si="16"/>
        <v>13483643.370108353</v>
      </c>
      <c r="Y45" s="72">
        <f t="shared" si="10"/>
        <v>13483.643370108353</v>
      </c>
      <c r="Z45" s="72">
        <f t="shared" si="11"/>
        <v>337091.08425270882</v>
      </c>
    </row>
    <row r="46" spans="1:26" ht="15.75" customHeight="1" x14ac:dyDescent="0.2">
      <c r="A46" s="22" t="s">
        <v>63</v>
      </c>
      <c r="B46" s="25">
        <v>6928120</v>
      </c>
      <c r="C46" s="25">
        <v>0</v>
      </c>
      <c r="D46" s="25">
        <v>66390</v>
      </c>
      <c r="E46" s="25">
        <v>12413590</v>
      </c>
      <c r="F46" s="25">
        <v>0</v>
      </c>
      <c r="G46" s="25">
        <v>1200</v>
      </c>
      <c r="H46" s="25">
        <v>458760</v>
      </c>
      <c r="I46" s="25">
        <v>0</v>
      </c>
      <c r="J46" s="25">
        <v>0</v>
      </c>
      <c r="K46" s="25">
        <v>7311</v>
      </c>
      <c r="L46" s="25"/>
      <c r="M46" s="25">
        <v>752874.62074041483</v>
      </c>
      <c r="N46" s="92"/>
      <c r="O46" s="35">
        <f t="shared" si="12"/>
        <v>20160974.620740414</v>
      </c>
      <c r="P46" s="35">
        <f t="shared" si="13"/>
        <v>0</v>
      </c>
      <c r="Q46" s="35">
        <f t="shared" si="6"/>
        <v>20160974.620740414</v>
      </c>
      <c r="R46" s="72">
        <f t="shared" si="2"/>
        <v>276758.65374500805</v>
      </c>
      <c r="S46" s="70">
        <f t="shared" si="7"/>
        <v>19884215.966995407</v>
      </c>
      <c r="T46" s="35">
        <f t="shared" si="14"/>
        <v>458760</v>
      </c>
      <c r="U46" s="70">
        <f t="shared" si="8"/>
        <v>116547.88848648194</v>
      </c>
      <c r="V46" s="35">
        <f t="shared" si="15"/>
        <v>1200</v>
      </c>
      <c r="W46" s="71">
        <f t="shared" si="9"/>
        <v>90.671679465447397</v>
      </c>
      <c r="X46" s="35">
        <f t="shared" si="16"/>
        <v>20000854.527161356</v>
      </c>
      <c r="Y46" s="72">
        <f t="shared" si="10"/>
        <v>20000.854527161355</v>
      </c>
      <c r="Z46" s="72">
        <f t="shared" si="11"/>
        <v>500021.36317903385</v>
      </c>
    </row>
    <row r="47" spans="1:26" ht="15" customHeight="1" x14ac:dyDescent="0.2">
      <c r="A47" s="22" t="s">
        <v>64</v>
      </c>
      <c r="B47" s="25">
        <v>7664780</v>
      </c>
      <c r="C47" s="25">
        <v>0</v>
      </c>
      <c r="D47" s="25">
        <v>0</v>
      </c>
      <c r="E47" s="25">
        <v>4176970</v>
      </c>
      <c r="F47" s="25">
        <v>0</v>
      </c>
      <c r="G47" s="25">
        <v>368300</v>
      </c>
      <c r="H47" s="25">
        <v>913630</v>
      </c>
      <c r="I47" s="25">
        <v>0</v>
      </c>
      <c r="J47" s="25">
        <v>0</v>
      </c>
      <c r="K47" s="25">
        <v>2941</v>
      </c>
      <c r="L47" s="25"/>
      <c r="M47" s="25">
        <v>960274.03945854737</v>
      </c>
      <c r="N47" s="92"/>
      <c r="O47" s="35">
        <f t="shared" si="12"/>
        <v>12802024.039458547</v>
      </c>
      <c r="P47" s="35">
        <f t="shared" si="13"/>
        <v>0</v>
      </c>
      <c r="Q47" s="35">
        <f t="shared" si="6"/>
        <v>12802024.039458547</v>
      </c>
      <c r="R47" s="72">
        <f t="shared" si="2"/>
        <v>175739.07040817739</v>
      </c>
      <c r="S47" s="70">
        <f t="shared" si="7"/>
        <v>12626284.96905037</v>
      </c>
      <c r="T47" s="35">
        <f t="shared" si="14"/>
        <v>913630</v>
      </c>
      <c r="U47" s="70">
        <f t="shared" si="8"/>
        <v>232107.52323198292</v>
      </c>
      <c r="V47" s="35">
        <f t="shared" si="15"/>
        <v>368300</v>
      </c>
      <c r="W47" s="71">
        <f t="shared" si="9"/>
        <v>27828.649622603563</v>
      </c>
      <c r="X47" s="35">
        <f t="shared" si="16"/>
        <v>12886221.141904958</v>
      </c>
      <c r="Y47" s="72">
        <f t="shared" si="10"/>
        <v>12886.221141904958</v>
      </c>
      <c r="Z47" s="72">
        <f t="shared" si="11"/>
        <v>322155.52854762395</v>
      </c>
    </row>
    <row r="48" spans="1:26" ht="15" customHeight="1" x14ac:dyDescent="0.2">
      <c r="A48" s="22" t="s">
        <v>65</v>
      </c>
      <c r="B48" s="25">
        <v>6099190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/>
      <c r="M48" s="25">
        <v>534257.63194499072</v>
      </c>
      <c r="N48" s="92"/>
      <c r="O48" s="35">
        <f t="shared" si="12"/>
        <v>6633447.6319449907</v>
      </c>
      <c r="P48" s="35">
        <f t="shared" si="13"/>
        <v>0</v>
      </c>
      <c r="Q48" s="35">
        <f t="shared" si="6"/>
        <v>6633447.6319449907</v>
      </c>
      <c r="R48" s="72">
        <f t="shared" si="2"/>
        <v>91060.282096505354</v>
      </c>
      <c r="S48" s="70">
        <f t="shared" si="7"/>
        <v>6542387.3498484856</v>
      </c>
      <c r="T48" s="35">
        <f t="shared" si="14"/>
        <v>0</v>
      </c>
      <c r="U48" s="70">
        <f t="shared" si="8"/>
        <v>0</v>
      </c>
      <c r="V48" s="35">
        <f t="shared" si="15"/>
        <v>0</v>
      </c>
      <c r="W48" s="71">
        <f t="shared" si="9"/>
        <v>0</v>
      </c>
      <c r="X48" s="35">
        <f t="shared" si="16"/>
        <v>6542387.3498484856</v>
      </c>
      <c r="Y48" s="72">
        <f t="shared" si="10"/>
        <v>6542.3873498484854</v>
      </c>
      <c r="Z48" s="72">
        <f t="shared" si="11"/>
        <v>163559.68374621213</v>
      </c>
    </row>
    <row r="49" spans="1:26" ht="14.25" customHeight="1" x14ac:dyDescent="0.2">
      <c r="A49" s="36" t="s">
        <v>66</v>
      </c>
      <c r="B49" s="25">
        <v>11817520</v>
      </c>
      <c r="C49" s="25">
        <v>0</v>
      </c>
      <c r="D49" s="25">
        <v>0</v>
      </c>
      <c r="E49" s="25">
        <v>0</v>
      </c>
      <c r="F49" s="25">
        <v>369780</v>
      </c>
      <c r="G49" s="25">
        <v>1033710</v>
      </c>
      <c r="H49" s="25">
        <v>0</v>
      </c>
      <c r="I49" s="25">
        <v>0</v>
      </c>
      <c r="J49" s="25">
        <v>0</v>
      </c>
      <c r="K49" s="25">
        <v>3652</v>
      </c>
      <c r="L49" s="25"/>
      <c r="M49" s="25">
        <v>865445.49232327833</v>
      </c>
      <c r="N49" s="92"/>
      <c r="O49" s="35">
        <f t="shared" si="12"/>
        <v>12682965.492323278</v>
      </c>
      <c r="P49" s="35">
        <f t="shared" si="13"/>
        <v>369780</v>
      </c>
      <c r="Q49" s="35">
        <f t="shared" si="6"/>
        <v>13052745.492323278</v>
      </c>
      <c r="R49" s="72">
        <f t="shared" si="2"/>
        <v>179180.83515740986</v>
      </c>
      <c r="S49" s="70">
        <f t="shared" si="7"/>
        <v>12873564.657165868</v>
      </c>
      <c r="T49" s="35">
        <f t="shared" si="14"/>
        <v>0</v>
      </c>
      <c r="U49" s="70">
        <f t="shared" si="8"/>
        <v>0</v>
      </c>
      <c r="V49" s="35">
        <f t="shared" si="15"/>
        <v>1033710</v>
      </c>
      <c r="W49" s="71">
        <f t="shared" si="9"/>
        <v>78106.851483523016</v>
      </c>
      <c r="X49" s="35">
        <f t="shared" si="16"/>
        <v>12951671.508649392</v>
      </c>
      <c r="Y49" s="72">
        <f t="shared" si="10"/>
        <v>12951.671508649391</v>
      </c>
      <c r="Z49" s="72">
        <f t="shared" si="11"/>
        <v>323791.7877162348</v>
      </c>
    </row>
    <row r="50" spans="1:26" ht="17.25" customHeight="1" x14ac:dyDescent="0.2">
      <c r="A50" s="22" t="s">
        <v>67</v>
      </c>
      <c r="B50" s="25">
        <v>7226730</v>
      </c>
      <c r="C50" s="25">
        <v>0</v>
      </c>
      <c r="D50" s="25">
        <v>0</v>
      </c>
      <c r="E50" s="25">
        <v>0</v>
      </c>
      <c r="F50" s="25">
        <v>0</v>
      </c>
      <c r="G50" s="25">
        <v>505230</v>
      </c>
      <c r="H50" s="25">
        <v>123770</v>
      </c>
      <c r="I50" s="25">
        <v>0</v>
      </c>
      <c r="J50" s="25">
        <v>0</v>
      </c>
      <c r="K50" s="25">
        <v>3652</v>
      </c>
      <c r="L50" s="25"/>
      <c r="M50" s="25">
        <v>591815.00584397709</v>
      </c>
      <c r="N50" s="92"/>
      <c r="O50" s="35">
        <f t="shared" si="12"/>
        <v>7818545.0058439774</v>
      </c>
      <c r="P50" s="35">
        <f t="shared" si="13"/>
        <v>0</v>
      </c>
      <c r="Q50" s="35">
        <f t="shared" si="6"/>
        <v>7818545.0058439774</v>
      </c>
      <c r="R50" s="72">
        <f t="shared" si="2"/>
        <v>107328.64014600241</v>
      </c>
      <c r="S50" s="70">
        <f t="shared" si="7"/>
        <v>7711216.3656979753</v>
      </c>
      <c r="T50" s="35">
        <f t="shared" si="14"/>
        <v>123770</v>
      </c>
      <c r="U50" s="70">
        <f t="shared" si="8"/>
        <v>31443.744349925601</v>
      </c>
      <c r="V50" s="35">
        <f t="shared" si="15"/>
        <v>505230</v>
      </c>
      <c r="W50" s="71">
        <f t="shared" si="9"/>
        <v>38175.043846939989</v>
      </c>
      <c r="X50" s="35">
        <f t="shared" si="16"/>
        <v>7780835.1538948407</v>
      </c>
      <c r="Y50" s="72">
        <f t="shared" si="10"/>
        <v>7780.8351538948409</v>
      </c>
      <c r="Z50" s="72">
        <f t="shared" si="11"/>
        <v>194520.87884737103</v>
      </c>
    </row>
    <row r="51" spans="1:26" ht="15" customHeight="1" x14ac:dyDescent="0.2">
      <c r="A51" s="22" t="s">
        <v>68</v>
      </c>
      <c r="B51" s="25">
        <v>25306940</v>
      </c>
      <c r="C51" s="25">
        <v>0</v>
      </c>
      <c r="D51" s="25">
        <v>0</v>
      </c>
      <c r="E51" s="25">
        <v>8116700</v>
      </c>
      <c r="F51" s="25">
        <v>856420</v>
      </c>
      <c r="G51" s="25">
        <v>52480</v>
      </c>
      <c r="H51" s="25">
        <v>256310</v>
      </c>
      <c r="I51" s="25">
        <v>8930</v>
      </c>
      <c r="J51" s="25">
        <v>601290</v>
      </c>
      <c r="K51" s="25">
        <v>785</v>
      </c>
      <c r="L51" s="25"/>
      <c r="M51" s="25">
        <v>1392445.2463698776</v>
      </c>
      <c r="N51" s="92"/>
      <c r="O51" s="35">
        <f t="shared" si="12"/>
        <v>34816085.246369876</v>
      </c>
      <c r="P51" s="35">
        <f t="shared" si="13"/>
        <v>1457710</v>
      </c>
      <c r="Q51" s="35">
        <f t="shared" si="6"/>
        <v>36273795.246369876</v>
      </c>
      <c r="R51" s="72">
        <f t="shared" si="2"/>
        <v>497946.49948518764</v>
      </c>
      <c r="S51" s="70">
        <f t="shared" si="7"/>
        <v>35775848.746884689</v>
      </c>
      <c r="T51" s="35">
        <f t="shared" si="14"/>
        <v>265240</v>
      </c>
      <c r="U51" s="70">
        <f t="shared" si="8"/>
        <v>67384.170246216905</v>
      </c>
      <c r="V51" s="35">
        <f t="shared" si="15"/>
        <v>52480</v>
      </c>
      <c r="W51" s="71">
        <f t="shared" si="9"/>
        <v>3965.374781955566</v>
      </c>
      <c r="X51" s="35">
        <f t="shared" si="16"/>
        <v>35847198.291912861</v>
      </c>
      <c r="Y51" s="72">
        <f t="shared" si="10"/>
        <v>35847.198291912864</v>
      </c>
      <c r="Z51" s="72">
        <f t="shared" si="11"/>
        <v>896179.95729782165</v>
      </c>
    </row>
    <row r="52" spans="1:26" ht="15" customHeight="1" x14ac:dyDescent="0.2">
      <c r="A52" s="22" t="s">
        <v>69</v>
      </c>
      <c r="B52" s="25">
        <v>5167550</v>
      </c>
      <c r="C52" s="25">
        <v>0</v>
      </c>
      <c r="D52" s="25">
        <v>0</v>
      </c>
      <c r="E52" s="25">
        <v>0</v>
      </c>
      <c r="F52" s="25">
        <v>606780</v>
      </c>
      <c r="G52" s="25">
        <v>0</v>
      </c>
      <c r="H52" s="25">
        <v>89090</v>
      </c>
      <c r="I52" s="25">
        <v>0</v>
      </c>
      <c r="J52" s="25">
        <v>0</v>
      </c>
      <c r="K52" s="25">
        <v>2112</v>
      </c>
      <c r="L52" s="25"/>
      <c r="M52" s="25">
        <v>492436.77278070583</v>
      </c>
      <c r="N52" s="92"/>
      <c r="O52" s="35">
        <f t="shared" si="12"/>
        <v>5659986.7727807062</v>
      </c>
      <c r="P52" s="35">
        <f t="shared" si="13"/>
        <v>606780</v>
      </c>
      <c r="Q52" s="35">
        <f t="shared" si="6"/>
        <v>6266766.7727807062</v>
      </c>
      <c r="R52" s="72">
        <f t="shared" si="2"/>
        <v>86026.69107000946</v>
      </c>
      <c r="S52" s="70">
        <f t="shared" si="7"/>
        <v>6180740.0817106972</v>
      </c>
      <c r="T52" s="35">
        <f t="shared" si="14"/>
        <v>89090</v>
      </c>
      <c r="U52" s="70">
        <f t="shared" si="8"/>
        <v>22633.297116707374</v>
      </c>
      <c r="V52" s="35">
        <f t="shared" si="15"/>
        <v>0</v>
      </c>
      <c r="W52" s="71">
        <f t="shared" si="9"/>
        <v>0</v>
      </c>
      <c r="X52" s="35">
        <f t="shared" si="16"/>
        <v>6203373.3788274042</v>
      </c>
      <c r="Y52" s="72">
        <f t="shared" si="10"/>
        <v>6203.3733788274039</v>
      </c>
      <c r="Z52" s="72">
        <f t="shared" si="11"/>
        <v>155084.33447068511</v>
      </c>
    </row>
    <row r="53" spans="1:26" ht="15" customHeight="1" x14ac:dyDescent="0.2">
      <c r="A53" s="22" t="s">
        <v>70</v>
      </c>
      <c r="B53" s="25">
        <v>319590</v>
      </c>
      <c r="C53" s="25">
        <v>0</v>
      </c>
      <c r="D53" s="25">
        <v>856140</v>
      </c>
      <c r="E53" s="25">
        <v>3479680</v>
      </c>
      <c r="F53" s="25">
        <v>62100</v>
      </c>
      <c r="G53" s="25">
        <v>34800</v>
      </c>
      <c r="H53" s="25">
        <v>8580</v>
      </c>
      <c r="I53" s="25">
        <v>0</v>
      </c>
      <c r="J53" s="25">
        <v>0</v>
      </c>
      <c r="K53" s="25">
        <v>0</v>
      </c>
      <c r="L53" s="25"/>
      <c r="M53" s="25">
        <v>69662.532563040135</v>
      </c>
      <c r="N53" s="92"/>
      <c r="O53" s="35">
        <f t="shared" si="12"/>
        <v>4725072.53256304</v>
      </c>
      <c r="P53" s="35">
        <f t="shared" si="13"/>
        <v>62100</v>
      </c>
      <c r="Q53" s="35">
        <f t="shared" si="6"/>
        <v>4787172.53256304</v>
      </c>
      <c r="R53" s="72">
        <f t="shared" si="2"/>
        <v>65715.643726581446</v>
      </c>
      <c r="S53" s="70">
        <f t="shared" si="7"/>
        <v>4721456.8888364583</v>
      </c>
      <c r="T53" s="35">
        <f t="shared" si="14"/>
        <v>8580</v>
      </c>
      <c r="U53" s="70">
        <f t="shared" si="8"/>
        <v>2179.747325865409</v>
      </c>
      <c r="V53" s="35">
        <f t="shared" si="15"/>
        <v>34800</v>
      </c>
      <c r="W53" s="71">
        <f t="shared" si="9"/>
        <v>2629.4787044979744</v>
      </c>
      <c r="X53" s="35">
        <f t="shared" si="16"/>
        <v>4726266.114866822</v>
      </c>
      <c r="Y53" s="72">
        <f t="shared" si="10"/>
        <v>4726.2661148668221</v>
      </c>
      <c r="Z53" s="72">
        <f t="shared" si="11"/>
        <v>118156.65287167055</v>
      </c>
    </row>
    <row r="54" spans="1:26" ht="15" customHeight="1" x14ac:dyDescent="0.2">
      <c r="A54" s="22" t="s">
        <v>71</v>
      </c>
      <c r="B54" s="25">
        <v>25107340</v>
      </c>
      <c r="C54" s="25">
        <v>0</v>
      </c>
      <c r="D54" s="25">
        <v>0</v>
      </c>
      <c r="E54" s="25">
        <v>0</v>
      </c>
      <c r="F54" s="25">
        <v>2827730</v>
      </c>
      <c r="G54" s="25">
        <v>7710</v>
      </c>
      <c r="H54" s="25">
        <v>1132340</v>
      </c>
      <c r="I54" s="25">
        <v>4070</v>
      </c>
      <c r="J54" s="25">
        <v>0</v>
      </c>
      <c r="K54" s="25">
        <v>453</v>
      </c>
      <c r="L54" s="25"/>
      <c r="M54" s="25">
        <v>1192734.8664517619</v>
      </c>
      <c r="N54" s="92"/>
      <c r="O54" s="35">
        <f t="shared" si="12"/>
        <v>26300074.866451763</v>
      </c>
      <c r="P54" s="35">
        <f t="shared" si="13"/>
        <v>2827730</v>
      </c>
      <c r="Q54" s="35">
        <f t="shared" si="6"/>
        <v>29127804.866451763</v>
      </c>
      <c r="R54" s="72">
        <f t="shared" si="2"/>
        <v>399850.31542539725</v>
      </c>
      <c r="S54" s="70">
        <f t="shared" si="7"/>
        <v>28727954.551026367</v>
      </c>
      <c r="T54" s="35">
        <f t="shared" si="14"/>
        <v>1136410</v>
      </c>
      <c r="U54" s="70">
        <f t="shared" si="8"/>
        <v>288704.73876301973</v>
      </c>
      <c r="V54" s="35">
        <f t="shared" si="15"/>
        <v>7710</v>
      </c>
      <c r="W54" s="71">
        <f t="shared" si="9"/>
        <v>582.56554056549953</v>
      </c>
      <c r="X54" s="35">
        <f t="shared" si="16"/>
        <v>29017241.855329953</v>
      </c>
      <c r="Y54" s="72">
        <f t="shared" si="10"/>
        <v>29017.241855329954</v>
      </c>
      <c r="Z54" s="72">
        <f t="shared" si="11"/>
        <v>725431.04638324887</v>
      </c>
    </row>
    <row r="55" spans="1:26" ht="15" customHeight="1" x14ac:dyDescent="0.2">
      <c r="A55" s="22" t="s">
        <v>72</v>
      </c>
      <c r="B55" s="25">
        <v>3316830</v>
      </c>
      <c r="C55" s="25">
        <v>0</v>
      </c>
      <c r="D55" s="25">
        <v>0</v>
      </c>
      <c r="E55" s="25">
        <v>0</v>
      </c>
      <c r="F55" s="25">
        <v>4855000</v>
      </c>
      <c r="G55" s="25">
        <v>260170</v>
      </c>
      <c r="H55" s="25">
        <v>0</v>
      </c>
      <c r="I55" s="25">
        <v>0</v>
      </c>
      <c r="J55" s="25">
        <v>1195990</v>
      </c>
      <c r="K55" s="25">
        <v>0</v>
      </c>
      <c r="L55" s="25"/>
      <c r="M55" s="25">
        <v>947.15810352453548</v>
      </c>
      <c r="N55" s="92"/>
      <c r="O55" s="35">
        <f t="shared" si="12"/>
        <v>3317777.1581035247</v>
      </c>
      <c r="P55" s="35">
        <f t="shared" si="13"/>
        <v>6050990</v>
      </c>
      <c r="Q55" s="35">
        <f t="shared" si="6"/>
        <v>9368767.1581035256</v>
      </c>
      <c r="R55" s="72">
        <f t="shared" si="2"/>
        <v>128609.22820962078</v>
      </c>
      <c r="S55" s="70">
        <f t="shared" si="7"/>
        <v>9240157.9298939053</v>
      </c>
      <c r="T55" s="35">
        <f t="shared" si="14"/>
        <v>0</v>
      </c>
      <c r="U55" s="70">
        <f t="shared" si="8"/>
        <v>0</v>
      </c>
      <c r="V55" s="35">
        <f t="shared" si="15"/>
        <v>260170</v>
      </c>
      <c r="W55" s="71">
        <f t="shared" si="9"/>
        <v>19658.375705437873</v>
      </c>
      <c r="X55" s="35">
        <f t="shared" si="16"/>
        <v>9259816.305599343</v>
      </c>
      <c r="Y55" s="72">
        <f t="shared" si="10"/>
        <v>9259.8163055993427</v>
      </c>
      <c r="Z55" s="72">
        <f t="shared" si="11"/>
        <v>231495.40763998358</v>
      </c>
    </row>
    <row r="56" spans="1:26" ht="15" customHeight="1" x14ac:dyDescent="0.2">
      <c r="A56" s="22" t="s">
        <v>73</v>
      </c>
      <c r="B56" s="25">
        <v>1509710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/>
      <c r="M56" s="25">
        <v>105147.32514670031</v>
      </c>
      <c r="N56" s="92"/>
      <c r="O56" s="35">
        <f t="shared" si="12"/>
        <v>1614857.3251467003</v>
      </c>
      <c r="P56" s="35">
        <f t="shared" si="13"/>
        <v>0</v>
      </c>
      <c r="Q56" s="35">
        <f t="shared" si="6"/>
        <v>1614857.3251467003</v>
      </c>
      <c r="R56" s="72">
        <f t="shared" si="2"/>
        <v>22167.86379156962</v>
      </c>
      <c r="S56" s="70">
        <f t="shared" si="7"/>
        <v>1592689.4613551307</v>
      </c>
      <c r="T56" s="35">
        <f t="shared" si="14"/>
        <v>0</v>
      </c>
      <c r="U56" s="70">
        <f t="shared" si="8"/>
        <v>0</v>
      </c>
      <c r="V56" s="35">
        <f t="shared" si="15"/>
        <v>0</v>
      </c>
      <c r="W56" s="71">
        <f t="shared" si="9"/>
        <v>0</v>
      </c>
      <c r="X56" s="35">
        <f t="shared" si="16"/>
        <v>1592689.4613551307</v>
      </c>
      <c r="Y56" s="72">
        <f t="shared" si="10"/>
        <v>1592.6894613551306</v>
      </c>
      <c r="Z56" s="72">
        <f t="shared" si="11"/>
        <v>39817.236533878262</v>
      </c>
    </row>
    <row r="57" spans="1:26" ht="25.5" customHeight="1" x14ac:dyDescent="0.2">
      <c r="A57" s="22" t="s">
        <v>74</v>
      </c>
      <c r="B57" s="25">
        <v>5600650</v>
      </c>
      <c r="C57" s="25">
        <v>0</v>
      </c>
      <c r="D57" s="25">
        <v>0</v>
      </c>
      <c r="E57" s="25">
        <v>0</v>
      </c>
      <c r="F57" s="25">
        <v>2510</v>
      </c>
      <c r="G57" s="25">
        <v>4620</v>
      </c>
      <c r="H57" s="25">
        <v>42960</v>
      </c>
      <c r="I57" s="25">
        <v>0</v>
      </c>
      <c r="J57" s="25">
        <v>509540</v>
      </c>
      <c r="K57" s="25">
        <v>2926</v>
      </c>
      <c r="L57" s="25"/>
      <c r="M57" s="25">
        <v>104074.56780076616</v>
      </c>
      <c r="N57" s="92"/>
      <c r="O57" s="35">
        <f t="shared" si="12"/>
        <v>5704724.5678007659</v>
      </c>
      <c r="P57" s="35">
        <f t="shared" si="13"/>
        <v>512050</v>
      </c>
      <c r="Q57" s="35">
        <f t="shared" si="6"/>
        <v>6216774.5678007659</v>
      </c>
      <c r="R57" s="72">
        <f t="shared" si="2"/>
        <v>85340.425866651713</v>
      </c>
      <c r="S57" s="70">
        <f t="shared" si="7"/>
        <v>6131434.1419341145</v>
      </c>
      <c r="T57" s="35">
        <f t="shared" si="14"/>
        <v>42960</v>
      </c>
      <c r="U57" s="70">
        <f t="shared" si="8"/>
        <v>10913.979617619809</v>
      </c>
      <c r="V57" s="35">
        <f t="shared" si="15"/>
        <v>4620</v>
      </c>
      <c r="W57" s="71">
        <f t="shared" si="9"/>
        <v>349.08596594197246</v>
      </c>
      <c r="X57" s="35">
        <f t="shared" si="16"/>
        <v>6142697.2075176761</v>
      </c>
      <c r="Y57" s="72">
        <f t="shared" si="10"/>
        <v>6142.6972075176764</v>
      </c>
      <c r="Z57" s="72">
        <f t="shared" si="11"/>
        <v>153567.43018794191</v>
      </c>
    </row>
    <row r="58" spans="1:26" ht="19.5" customHeight="1" x14ac:dyDescent="0.2">
      <c r="A58" s="22" t="s">
        <v>75</v>
      </c>
      <c r="B58" s="25">
        <v>2699040</v>
      </c>
      <c r="C58" s="25">
        <v>0</v>
      </c>
      <c r="D58" s="25">
        <v>1674240</v>
      </c>
      <c r="E58" s="25">
        <v>7508970</v>
      </c>
      <c r="F58" s="25">
        <v>231960</v>
      </c>
      <c r="G58" s="25">
        <v>33510</v>
      </c>
      <c r="H58" s="25">
        <v>74850</v>
      </c>
      <c r="I58" s="25">
        <v>0</v>
      </c>
      <c r="J58" s="25">
        <v>0</v>
      </c>
      <c r="K58" s="25">
        <v>0</v>
      </c>
      <c r="L58" s="25"/>
      <c r="M58" s="25">
        <v>94148.550654610677</v>
      </c>
      <c r="N58" s="92"/>
      <c r="O58" s="35">
        <f t="shared" si="12"/>
        <v>11976398.550654611</v>
      </c>
      <c r="P58" s="35">
        <f t="shared" si="13"/>
        <v>231960</v>
      </c>
      <c r="Q58" s="35">
        <f t="shared" si="6"/>
        <v>12208358.550654611</v>
      </c>
      <c r="R58" s="72">
        <f t="shared" si="2"/>
        <v>167589.56054831052</v>
      </c>
      <c r="S58" s="70">
        <f t="shared" si="7"/>
        <v>12040768.9901063</v>
      </c>
      <c r="T58" s="35">
        <f t="shared" si="14"/>
        <v>74850</v>
      </c>
      <c r="U58" s="70">
        <f t="shared" si="8"/>
        <v>19015.627895224457</v>
      </c>
      <c r="V58" s="35">
        <f t="shared" si="15"/>
        <v>33510</v>
      </c>
      <c r="W58" s="71">
        <f t="shared" si="9"/>
        <v>2532.0066490726185</v>
      </c>
      <c r="X58" s="35">
        <f t="shared" si="16"/>
        <v>12062316.624650598</v>
      </c>
      <c r="Y58" s="72">
        <f t="shared" si="10"/>
        <v>12062.316624650597</v>
      </c>
      <c r="Z58" s="72">
        <f t="shared" si="11"/>
        <v>301557.91561626492</v>
      </c>
    </row>
    <row r="59" spans="1:26" ht="17.25" customHeight="1" x14ac:dyDescent="0.2">
      <c r="A59" s="22" t="s">
        <v>76</v>
      </c>
      <c r="B59" s="25">
        <v>9183630</v>
      </c>
      <c r="C59" s="25">
        <v>0</v>
      </c>
      <c r="D59" s="25">
        <v>137210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/>
      <c r="M59" s="25">
        <v>436321.56848131161</v>
      </c>
      <c r="N59" s="92"/>
      <c r="O59" s="35">
        <f t="shared" si="12"/>
        <v>9757161.5684813112</v>
      </c>
      <c r="P59" s="35">
        <f t="shared" si="13"/>
        <v>0</v>
      </c>
      <c r="Q59" s="35">
        <f t="shared" si="6"/>
        <v>9757161.5684813112</v>
      </c>
      <c r="R59" s="72">
        <f t="shared" si="2"/>
        <v>133940.89079837583</v>
      </c>
      <c r="S59" s="70">
        <f t="shared" si="7"/>
        <v>9623220.6776829362</v>
      </c>
      <c r="T59" s="35">
        <f t="shared" si="14"/>
        <v>0</v>
      </c>
      <c r="U59" s="70">
        <f t="shared" si="8"/>
        <v>0</v>
      </c>
      <c r="V59" s="35">
        <f t="shared" si="15"/>
        <v>0</v>
      </c>
      <c r="W59" s="71">
        <f t="shared" si="9"/>
        <v>0</v>
      </c>
      <c r="X59" s="35">
        <f t="shared" si="16"/>
        <v>9623220.6776829362</v>
      </c>
      <c r="Y59" s="72">
        <f t="shared" si="10"/>
        <v>9623.2206776829371</v>
      </c>
      <c r="Z59" s="72">
        <f t="shared" si="11"/>
        <v>240580.51694207342</v>
      </c>
    </row>
    <row r="60" spans="1:26" ht="28.5" customHeight="1" x14ac:dyDescent="0.2">
      <c r="A60" s="22" t="s">
        <v>77</v>
      </c>
      <c r="B60" s="25">
        <v>11845890</v>
      </c>
      <c r="C60" s="25">
        <v>0</v>
      </c>
      <c r="D60" s="25">
        <v>783760</v>
      </c>
      <c r="E60" s="25">
        <v>0</v>
      </c>
      <c r="F60" s="25">
        <v>0</v>
      </c>
      <c r="G60" s="25">
        <v>45430</v>
      </c>
      <c r="H60" s="25">
        <v>0</v>
      </c>
      <c r="I60" s="25">
        <v>0</v>
      </c>
      <c r="J60" s="25">
        <v>7970</v>
      </c>
      <c r="K60" s="25">
        <v>0</v>
      </c>
      <c r="L60" s="25"/>
      <c r="M60" s="25">
        <v>382551.1233825729</v>
      </c>
      <c r="N60" s="92"/>
      <c r="O60" s="35">
        <f t="shared" si="12"/>
        <v>13012201.123382572</v>
      </c>
      <c r="P60" s="35">
        <f t="shared" si="13"/>
        <v>7970</v>
      </c>
      <c r="Q60" s="35">
        <f t="shared" si="6"/>
        <v>13020171.123382572</v>
      </c>
      <c r="R60" s="72">
        <f t="shared" si="2"/>
        <v>178733.67232603818</v>
      </c>
      <c r="S60" s="70">
        <f t="shared" si="7"/>
        <v>12841437.451056534</v>
      </c>
      <c r="T60" s="35">
        <f t="shared" si="14"/>
        <v>0</v>
      </c>
      <c r="U60" s="70">
        <f t="shared" si="8"/>
        <v>0</v>
      </c>
      <c r="V60" s="35">
        <f t="shared" si="15"/>
        <v>45430</v>
      </c>
      <c r="W60" s="71">
        <f t="shared" si="9"/>
        <v>3432.6786650960626</v>
      </c>
      <c r="X60" s="35">
        <f t="shared" si="16"/>
        <v>12844870.12972163</v>
      </c>
      <c r="Y60" s="72">
        <f t="shared" si="10"/>
        <v>12844.87012972163</v>
      </c>
      <c r="Z60" s="72">
        <f t="shared" si="11"/>
        <v>321121.75324304076</v>
      </c>
    </row>
    <row r="61" spans="1:26" ht="12.75" customHeight="1" x14ac:dyDescent="0.2">
      <c r="A61" s="22" t="s">
        <v>78</v>
      </c>
      <c r="B61" s="25">
        <v>1159770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/>
      <c r="M61" s="25">
        <v>0</v>
      </c>
      <c r="N61" s="92"/>
      <c r="O61" s="35">
        <f t="shared" si="12"/>
        <v>1159770</v>
      </c>
      <c r="P61" s="35">
        <f t="shared" si="13"/>
        <v>0</v>
      </c>
      <c r="Q61" s="35">
        <f t="shared" si="6"/>
        <v>1159770</v>
      </c>
      <c r="R61" s="72">
        <f t="shared" si="2"/>
        <v>15920.677938042068</v>
      </c>
      <c r="S61" s="70">
        <f t="shared" si="7"/>
        <v>1143849.322061958</v>
      </c>
      <c r="T61" s="35">
        <f t="shared" si="14"/>
        <v>0</v>
      </c>
      <c r="U61" s="70">
        <f t="shared" si="8"/>
        <v>0</v>
      </c>
      <c r="V61" s="35">
        <f t="shared" si="15"/>
        <v>0</v>
      </c>
      <c r="W61" s="71">
        <f t="shared" si="9"/>
        <v>0</v>
      </c>
      <c r="X61" s="35">
        <f t="shared" si="16"/>
        <v>1143849.322061958</v>
      </c>
      <c r="Y61" s="72">
        <f t="shared" si="10"/>
        <v>1143.849322061958</v>
      </c>
      <c r="Z61" s="72">
        <f t="shared" si="11"/>
        <v>28596.233051548948</v>
      </c>
    </row>
    <row r="62" spans="1:26" ht="12.75" customHeight="1" x14ac:dyDescent="0.2">
      <c r="A62" s="22" t="s">
        <v>79</v>
      </c>
      <c r="B62" s="25">
        <v>1355880</v>
      </c>
      <c r="C62" s="25">
        <v>74010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/>
      <c r="M62" s="25">
        <v>7791.8020232603176</v>
      </c>
      <c r="N62" s="92"/>
      <c r="O62" s="35">
        <f t="shared" si="12"/>
        <v>1437681.8020232604</v>
      </c>
      <c r="P62" s="35">
        <f t="shared" si="13"/>
        <v>0</v>
      </c>
      <c r="Q62" s="35">
        <f t="shared" si="6"/>
        <v>1437681.8020232604</v>
      </c>
      <c r="R62" s="72">
        <f t="shared" si="2"/>
        <v>19735.696687615895</v>
      </c>
      <c r="S62" s="70">
        <f t="shared" si="7"/>
        <v>1417946.1053356444</v>
      </c>
      <c r="T62" s="35">
        <f t="shared" si="14"/>
        <v>0</v>
      </c>
      <c r="U62" s="70">
        <f t="shared" si="8"/>
        <v>0</v>
      </c>
      <c r="V62" s="35">
        <f t="shared" si="15"/>
        <v>0</v>
      </c>
      <c r="W62" s="71">
        <f t="shared" si="9"/>
        <v>0</v>
      </c>
      <c r="X62" s="35">
        <f t="shared" si="16"/>
        <v>1417946.1053356444</v>
      </c>
      <c r="Y62" s="72">
        <f t="shared" si="10"/>
        <v>1417.9461053356445</v>
      </c>
      <c r="Z62" s="72">
        <f t="shared" si="11"/>
        <v>35448.65263339111</v>
      </c>
    </row>
    <row r="63" spans="1:26" ht="12.75" customHeight="1" x14ac:dyDescent="0.2">
      <c r="A63" s="22" t="s">
        <v>80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/>
      <c r="M63" s="25">
        <v>0</v>
      </c>
      <c r="N63" s="92"/>
      <c r="O63" s="35">
        <f t="shared" si="12"/>
        <v>0</v>
      </c>
      <c r="P63" s="35">
        <f t="shared" si="13"/>
        <v>0</v>
      </c>
      <c r="Q63" s="35">
        <f t="shared" si="6"/>
        <v>0</v>
      </c>
      <c r="R63" s="72">
        <f t="shared" si="2"/>
        <v>0</v>
      </c>
      <c r="S63" s="70">
        <f t="shared" si="7"/>
        <v>0</v>
      </c>
      <c r="T63" s="35">
        <f t="shared" si="14"/>
        <v>0</v>
      </c>
      <c r="U63" s="70">
        <f t="shared" si="8"/>
        <v>0</v>
      </c>
      <c r="V63" s="35">
        <f t="shared" si="15"/>
        <v>0</v>
      </c>
      <c r="W63" s="71">
        <f t="shared" si="9"/>
        <v>0</v>
      </c>
      <c r="X63" s="35">
        <f t="shared" si="16"/>
        <v>0</v>
      </c>
      <c r="Y63" s="72">
        <f t="shared" si="10"/>
        <v>0</v>
      </c>
      <c r="Z63" s="72">
        <f t="shared" si="11"/>
        <v>0</v>
      </c>
    </row>
    <row r="64" spans="1:26" ht="30.75" customHeight="1" x14ac:dyDescent="0.2">
      <c r="A64" s="22" t="s">
        <v>81</v>
      </c>
      <c r="B64" s="25">
        <v>7331810</v>
      </c>
      <c r="C64" s="25">
        <v>0</v>
      </c>
      <c r="D64" s="25">
        <v>0</v>
      </c>
      <c r="E64" s="25">
        <v>0</v>
      </c>
      <c r="F64" s="25">
        <v>0</v>
      </c>
      <c r="G64" s="25">
        <v>32820</v>
      </c>
      <c r="H64" s="25">
        <v>16870</v>
      </c>
      <c r="I64" s="25">
        <v>0</v>
      </c>
      <c r="J64" s="25">
        <v>0</v>
      </c>
      <c r="K64" s="25">
        <v>5064</v>
      </c>
      <c r="L64" s="25"/>
      <c r="M64" s="25">
        <v>350915.86569223524</v>
      </c>
      <c r="N64" s="92"/>
      <c r="O64" s="35">
        <f t="shared" si="12"/>
        <v>7682725.8656922355</v>
      </c>
      <c r="P64" s="35">
        <f t="shared" si="13"/>
        <v>0</v>
      </c>
      <c r="Q64" s="35">
        <f t="shared" si="6"/>
        <v>7682725.8656922355</v>
      </c>
      <c r="R64" s="72">
        <f t="shared" si="2"/>
        <v>105464.19048082939</v>
      </c>
      <c r="S64" s="70">
        <f t="shared" si="7"/>
        <v>7577261.6752114063</v>
      </c>
      <c r="T64" s="35">
        <f t="shared" si="14"/>
        <v>16870</v>
      </c>
      <c r="U64" s="70">
        <f t="shared" si="8"/>
        <v>4285.8202083157867</v>
      </c>
      <c r="V64" s="35">
        <f t="shared" si="15"/>
        <v>32820</v>
      </c>
      <c r="W64" s="71">
        <f t="shared" si="9"/>
        <v>2479.8704333799865</v>
      </c>
      <c r="X64" s="35">
        <f t="shared" si="16"/>
        <v>7584027.3658531019</v>
      </c>
      <c r="Y64" s="72">
        <f t="shared" si="10"/>
        <v>7584.0273658531023</v>
      </c>
      <c r="Z64" s="72">
        <f t="shared" si="11"/>
        <v>189600.68414632755</v>
      </c>
    </row>
    <row r="65" spans="1:26" ht="12.75" customHeight="1" x14ac:dyDescent="0.2">
      <c r="A65" s="22" t="s">
        <v>82</v>
      </c>
      <c r="B65" s="25">
        <v>4987560</v>
      </c>
      <c r="C65" s="25">
        <v>0</v>
      </c>
      <c r="D65" s="25">
        <v>0</v>
      </c>
      <c r="E65" s="25">
        <v>0</v>
      </c>
      <c r="F65" s="25">
        <v>1773780</v>
      </c>
      <c r="G65" s="25">
        <v>860840</v>
      </c>
      <c r="H65" s="25">
        <v>0</v>
      </c>
      <c r="I65" s="25">
        <v>0</v>
      </c>
      <c r="J65" s="25">
        <v>0</v>
      </c>
      <c r="K65" s="25">
        <v>4236</v>
      </c>
      <c r="L65" s="25"/>
      <c r="M65" s="25">
        <v>382642.16981799202</v>
      </c>
      <c r="N65" s="92"/>
      <c r="O65" s="35">
        <f t="shared" si="12"/>
        <v>5370202.1698179916</v>
      </c>
      <c r="P65" s="35">
        <f t="shared" si="13"/>
        <v>1773780</v>
      </c>
      <c r="Q65" s="35">
        <f t="shared" si="6"/>
        <v>7143982.1698179916</v>
      </c>
      <c r="R65" s="72">
        <f t="shared" si="2"/>
        <v>98068.616467736865</v>
      </c>
      <c r="S65" s="70">
        <f t="shared" si="7"/>
        <v>7045913.5533502549</v>
      </c>
      <c r="T65" s="35">
        <f t="shared" si="14"/>
        <v>0</v>
      </c>
      <c r="U65" s="70">
        <f t="shared" si="8"/>
        <v>0</v>
      </c>
      <c r="V65" s="35">
        <f t="shared" si="15"/>
        <v>860840</v>
      </c>
      <c r="W65" s="71">
        <f t="shared" si="9"/>
        <v>65044.84045919645</v>
      </c>
      <c r="X65" s="35">
        <f t="shared" si="16"/>
        <v>7110958.3938094517</v>
      </c>
      <c r="Y65" s="72">
        <f t="shared" si="10"/>
        <v>7110.958393809452</v>
      </c>
      <c r="Z65" s="72">
        <f t="shared" si="11"/>
        <v>177773.9598452363</v>
      </c>
    </row>
    <row r="66" spans="1:26" ht="20.25" customHeight="1" x14ac:dyDescent="0.2">
      <c r="A66" s="22" t="s">
        <v>83</v>
      </c>
      <c r="B66" s="25">
        <v>14373620</v>
      </c>
      <c r="C66" s="25">
        <v>3174680</v>
      </c>
      <c r="D66" s="25">
        <v>0</v>
      </c>
      <c r="E66" s="25">
        <v>0</v>
      </c>
      <c r="F66" s="25">
        <v>1689210</v>
      </c>
      <c r="G66" s="25">
        <v>444200</v>
      </c>
      <c r="H66" s="25">
        <v>0</v>
      </c>
      <c r="I66" s="25">
        <v>0</v>
      </c>
      <c r="J66" s="25">
        <v>0</v>
      </c>
      <c r="K66" s="25">
        <v>0</v>
      </c>
      <c r="L66" s="25"/>
      <c r="M66" s="25">
        <v>267914.89736822288</v>
      </c>
      <c r="N66" s="92"/>
      <c r="O66" s="35">
        <f t="shared" si="12"/>
        <v>17816214.897368222</v>
      </c>
      <c r="P66" s="35">
        <f t="shared" si="13"/>
        <v>1689210</v>
      </c>
      <c r="Q66" s="35">
        <f t="shared" si="6"/>
        <v>19505424.897368222</v>
      </c>
      <c r="R66" s="72">
        <f t="shared" si="2"/>
        <v>267759.63150940853</v>
      </c>
      <c r="S66" s="70">
        <f t="shared" si="7"/>
        <v>19237665.265858814</v>
      </c>
      <c r="T66" s="35">
        <f t="shared" si="14"/>
        <v>0</v>
      </c>
      <c r="U66" s="70">
        <f t="shared" si="8"/>
        <v>0</v>
      </c>
      <c r="V66" s="35">
        <f t="shared" si="15"/>
        <v>444200</v>
      </c>
      <c r="W66" s="71">
        <f t="shared" si="9"/>
        <v>33563.633348793112</v>
      </c>
      <c r="X66" s="35">
        <f t="shared" si="16"/>
        <v>19271228.899207607</v>
      </c>
      <c r="Y66" s="72">
        <f t="shared" si="10"/>
        <v>19271.228899207606</v>
      </c>
      <c r="Z66" s="72">
        <f t="shared" si="11"/>
        <v>481780.72248019016</v>
      </c>
    </row>
    <row r="67" spans="1:26" ht="15" customHeight="1" x14ac:dyDescent="0.2">
      <c r="A67" s="22" t="s">
        <v>84</v>
      </c>
      <c r="B67" s="25">
        <v>3799070</v>
      </c>
      <c r="C67" s="25">
        <v>0</v>
      </c>
      <c r="D67" s="25">
        <v>0</v>
      </c>
      <c r="E67" s="25">
        <v>2581370</v>
      </c>
      <c r="F67" s="25">
        <v>1943220</v>
      </c>
      <c r="G67" s="25">
        <v>267490</v>
      </c>
      <c r="H67" s="25">
        <v>104080</v>
      </c>
      <c r="I67" s="25">
        <v>0</v>
      </c>
      <c r="J67" s="25">
        <v>2740</v>
      </c>
      <c r="K67" s="25">
        <v>6450</v>
      </c>
      <c r="L67" s="25"/>
      <c r="M67" s="25">
        <v>528512.75789433683</v>
      </c>
      <c r="N67" s="92"/>
      <c r="O67" s="35">
        <f t="shared" si="12"/>
        <v>6908952.7578943372</v>
      </c>
      <c r="P67" s="35">
        <f t="shared" si="13"/>
        <v>1945960</v>
      </c>
      <c r="Q67" s="35">
        <f t="shared" si="6"/>
        <v>8854912.7578943372</v>
      </c>
      <c r="R67" s="72">
        <f t="shared" si="2"/>
        <v>121555.32061347993</v>
      </c>
      <c r="S67" s="70">
        <f t="shared" si="7"/>
        <v>8733357.4372808579</v>
      </c>
      <c r="T67" s="35">
        <f t="shared" si="14"/>
        <v>104080</v>
      </c>
      <c r="U67" s="70">
        <f t="shared" si="8"/>
        <v>26441.503691849855</v>
      </c>
      <c r="V67" s="35">
        <f t="shared" si="15"/>
        <v>267490</v>
      </c>
      <c r="W67" s="71">
        <f t="shared" si="9"/>
        <v>20211.472950177103</v>
      </c>
      <c r="X67" s="35">
        <f t="shared" si="16"/>
        <v>8780010.4139228854</v>
      </c>
      <c r="Y67" s="72">
        <f t="shared" si="10"/>
        <v>8780.0104139228861</v>
      </c>
      <c r="Z67" s="72">
        <f t="shared" si="11"/>
        <v>219500.26034807216</v>
      </c>
    </row>
    <row r="68" spans="1:26" ht="15" customHeight="1" x14ac:dyDescent="0.2">
      <c r="A68" s="22" t="s">
        <v>85</v>
      </c>
      <c r="B68" s="25">
        <v>12088390</v>
      </c>
      <c r="C68" s="25">
        <v>0</v>
      </c>
      <c r="D68" s="25">
        <v>0</v>
      </c>
      <c r="E68" s="25">
        <v>0</v>
      </c>
      <c r="F68" s="25">
        <v>1438030</v>
      </c>
      <c r="G68" s="25">
        <v>22620</v>
      </c>
      <c r="H68" s="25">
        <v>449120</v>
      </c>
      <c r="I68" s="25">
        <v>0</v>
      </c>
      <c r="J68" s="25">
        <v>0</v>
      </c>
      <c r="K68" s="25">
        <v>453</v>
      </c>
      <c r="L68" s="25"/>
      <c r="M68" s="25">
        <v>1098018.6764722592</v>
      </c>
      <c r="N68" s="92"/>
      <c r="O68" s="35">
        <f t="shared" si="12"/>
        <v>13186408.67647226</v>
      </c>
      <c r="P68" s="35">
        <f t="shared" si="13"/>
        <v>1438030</v>
      </c>
      <c r="Q68" s="35">
        <f t="shared" si="6"/>
        <v>14624438.67647226</v>
      </c>
      <c r="R68" s="72">
        <f t="shared" ref="R68" si="17">Q68/$Q$70*$P$74</f>
        <v>200756.16561280345</v>
      </c>
      <c r="S68" s="70">
        <f t="shared" si="7"/>
        <v>14423682.510859456</v>
      </c>
      <c r="T68" s="35">
        <f t="shared" si="14"/>
        <v>449120</v>
      </c>
      <c r="U68" s="70">
        <f t="shared" si="8"/>
        <v>114098.84836744434</v>
      </c>
      <c r="V68" s="35">
        <f t="shared" si="15"/>
        <v>22620</v>
      </c>
      <c r="W68" s="71">
        <f t="shared" si="9"/>
        <v>1709.1611579236835</v>
      </c>
      <c r="X68" s="35">
        <f t="shared" ref="X68:X99" si="18">S68+U68+W68</f>
        <v>14539490.520384824</v>
      </c>
      <c r="Y68" s="72">
        <f t="shared" si="10"/>
        <v>14539.490520384825</v>
      </c>
      <c r="Z68" s="72">
        <f t="shared" si="11"/>
        <v>363487.2630096206</v>
      </c>
    </row>
    <row r="69" spans="1:26" x14ac:dyDescent="0.2">
      <c r="A69" s="22" t="s">
        <v>86</v>
      </c>
      <c r="B69" s="25">
        <v>9427490</v>
      </c>
      <c r="C69" s="25">
        <v>4570</v>
      </c>
      <c r="D69" s="25">
        <v>1340550</v>
      </c>
      <c r="E69" s="25">
        <v>0</v>
      </c>
      <c r="F69" s="25">
        <v>0</v>
      </c>
      <c r="G69" s="25">
        <v>1800</v>
      </c>
      <c r="H69" s="25">
        <v>173800</v>
      </c>
      <c r="I69" s="25">
        <v>0</v>
      </c>
      <c r="J69" s="25">
        <v>0</v>
      </c>
      <c r="K69" s="25">
        <v>0</v>
      </c>
      <c r="L69" s="25"/>
      <c r="M69" s="25">
        <v>0</v>
      </c>
      <c r="N69" s="92"/>
      <c r="O69" s="35">
        <f t="shared" si="12"/>
        <v>10772610</v>
      </c>
      <c r="P69" s="35">
        <f t="shared" si="13"/>
        <v>0</v>
      </c>
      <c r="Q69" s="35">
        <f t="shared" ref="Q69" si="19">O69+P69</f>
        <v>10772610</v>
      </c>
      <c r="R69" s="72">
        <f>Q69/$Q$70*$P$74</f>
        <v>147880.402460946</v>
      </c>
      <c r="S69" s="70">
        <f t="shared" ref="S69" si="20">Q69-R69</f>
        <v>10624729.597539054</v>
      </c>
      <c r="T69" s="35">
        <f t="shared" si="14"/>
        <v>173800</v>
      </c>
      <c r="U69" s="70">
        <f t="shared" ref="U69" si="21">T69*$T$72/$T$70</f>
        <v>44153.8560880429</v>
      </c>
      <c r="V69" s="35">
        <f t="shared" si="15"/>
        <v>1800</v>
      </c>
      <c r="W69" s="71">
        <f t="shared" ref="W69" si="22">V69*$V$72/$V$70</f>
        <v>136.00751919817108</v>
      </c>
      <c r="X69" s="35">
        <f t="shared" si="18"/>
        <v>10669019.461146295</v>
      </c>
      <c r="Y69" s="72">
        <f t="shared" ref="Y69" si="23">X69/1000</f>
        <v>10669.019461146296</v>
      </c>
      <c r="Z69" s="72">
        <f t="shared" ref="Z69" si="24">Y69*25</f>
        <v>266725.48652865738</v>
      </c>
    </row>
    <row r="70" spans="1:26" ht="34.5" customHeight="1" x14ac:dyDescent="0.2">
      <c r="A70" s="80" t="s">
        <v>87</v>
      </c>
      <c r="B70" s="81">
        <f>SUM(B4:B69)</f>
        <v>620584170</v>
      </c>
      <c r="C70" s="81">
        <f t="shared" ref="C70:K70" si="25">SUM(C4:C69)</f>
        <v>20703830</v>
      </c>
      <c r="D70" s="81">
        <f>SUM(D4:D69)</f>
        <v>9000230</v>
      </c>
      <c r="E70" s="82">
        <f t="shared" si="25"/>
        <v>87977315</v>
      </c>
      <c r="F70" s="83">
        <f t="shared" si="25"/>
        <v>101245370</v>
      </c>
      <c r="G70" s="83">
        <f t="shared" si="25"/>
        <v>12182150</v>
      </c>
      <c r="H70" s="83">
        <f t="shared" si="25"/>
        <v>9166580</v>
      </c>
      <c r="I70" s="83">
        <f t="shared" si="25"/>
        <v>450550</v>
      </c>
      <c r="J70" s="83">
        <f t="shared" si="25"/>
        <v>5276740</v>
      </c>
      <c r="K70" s="83">
        <f t="shared" si="25"/>
        <v>160883</v>
      </c>
      <c r="L70" s="41"/>
      <c r="M70" s="84">
        <f>SUM(M4:M69)</f>
        <v>36585442.590947747</v>
      </c>
      <c r="N70" s="93"/>
      <c r="O70" s="35">
        <f t="shared" ref="O70:Z70" si="26">SUM(O4:O69)</f>
        <v>774850987.59094775</v>
      </c>
      <c r="P70" s="35">
        <f t="shared" si="26"/>
        <v>106522110</v>
      </c>
      <c r="Q70" s="35">
        <f t="shared" si="26"/>
        <v>881373097.59094775</v>
      </c>
      <c r="R70" s="35">
        <f t="shared" si="26"/>
        <v>12099000</v>
      </c>
      <c r="S70" s="70">
        <f t="shared" si="26"/>
        <v>869274097.59094775</v>
      </c>
      <c r="T70" s="72">
        <f t="shared" si="26"/>
        <v>9617130</v>
      </c>
      <c r="U70" s="70">
        <f t="shared" si="26"/>
        <v>2443229.9999999995</v>
      </c>
      <c r="V70" s="72">
        <f t="shared" si="26"/>
        <v>12182150</v>
      </c>
      <c r="W70" s="71">
        <f t="shared" si="26"/>
        <v>920480.00000000023</v>
      </c>
      <c r="X70" s="70">
        <f t="shared" si="26"/>
        <v>872637807.59094763</v>
      </c>
      <c r="Y70" s="70">
        <f t="shared" si="26"/>
        <v>872637.80759094772</v>
      </c>
      <c r="Z70" s="70">
        <f t="shared" si="26"/>
        <v>21815945.189773686</v>
      </c>
    </row>
    <row r="71" spans="1:26" ht="38.25" x14ac:dyDescent="0.2">
      <c r="A71" s="85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7"/>
      <c r="P71" s="35">
        <v>94423.384269999995</v>
      </c>
      <c r="T71" s="1" t="s">
        <v>103</v>
      </c>
      <c r="V71" s="1" t="s">
        <v>103</v>
      </c>
      <c r="W71" s="75" t="s">
        <v>104</v>
      </c>
      <c r="X71" s="35"/>
      <c r="Y71" s="53" t="s">
        <v>106</v>
      </c>
      <c r="Z71" s="76">
        <f>Y70*25</f>
        <v>21815945.189773694</v>
      </c>
    </row>
    <row r="72" spans="1:26" ht="27.75" customHeight="1" x14ac:dyDescent="0.2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P72" s="74">
        <v>106522.11</v>
      </c>
      <c r="T72" s="1">
        <f>2443.23*1000</f>
        <v>2443230</v>
      </c>
      <c r="V72" s="35">
        <f>920.48*1000</f>
        <v>920480</v>
      </c>
    </row>
    <row r="73" spans="1:26" x14ac:dyDescent="0.2">
      <c r="A73" s="77"/>
      <c r="B73" s="77"/>
      <c r="C73" s="77"/>
      <c r="D73" s="77"/>
      <c r="E73" s="77"/>
      <c r="F73" s="77"/>
      <c r="G73" s="78"/>
      <c r="H73" s="77"/>
      <c r="I73" s="77"/>
      <c r="J73" s="77"/>
      <c r="K73" s="77"/>
      <c r="L73" s="77"/>
      <c r="M73" s="79"/>
      <c r="N73" s="77"/>
      <c r="Q73" s="35">
        <v>881373465</v>
      </c>
    </row>
    <row r="74" spans="1:26" ht="25.5" x14ac:dyDescent="0.2">
      <c r="A74" s="77"/>
      <c r="B74" s="77"/>
      <c r="C74" s="77"/>
      <c r="D74" s="77"/>
      <c r="E74" s="77"/>
      <c r="F74" s="77"/>
      <c r="G74" s="78"/>
      <c r="H74" s="77"/>
      <c r="I74" s="77"/>
      <c r="J74" s="77"/>
      <c r="K74" s="77"/>
      <c r="L74" s="77"/>
      <c r="M74" s="79"/>
      <c r="N74" s="77"/>
      <c r="O74" s="53" t="s">
        <v>107</v>
      </c>
      <c r="P74" s="72">
        <v>12099000</v>
      </c>
    </row>
    <row r="75" spans="1:26" x14ac:dyDescent="0.2">
      <c r="A75" s="77"/>
      <c r="B75" s="77"/>
      <c r="C75" s="77"/>
      <c r="D75" s="77"/>
      <c r="E75" s="77"/>
      <c r="F75" s="77"/>
      <c r="G75" s="78"/>
      <c r="H75" s="77"/>
      <c r="I75" s="77"/>
      <c r="J75" s="77"/>
      <c r="K75" s="77"/>
      <c r="L75" s="77"/>
      <c r="M75" s="79"/>
      <c r="N75" s="77"/>
    </row>
    <row r="76" spans="1:26" x14ac:dyDescent="0.2">
      <c r="A76" s="77"/>
      <c r="B76" s="77"/>
      <c r="C76" s="77"/>
      <c r="D76" s="77"/>
      <c r="E76" s="77"/>
      <c r="F76" s="77"/>
      <c r="G76" s="78"/>
      <c r="H76" s="77"/>
      <c r="I76" s="77"/>
      <c r="J76" s="77"/>
      <c r="K76" s="77"/>
      <c r="L76" s="77"/>
      <c r="M76" s="79"/>
      <c r="N76" s="77"/>
      <c r="Q76" s="35"/>
    </row>
    <row r="78" spans="1:26" x14ac:dyDescent="0.2">
      <c r="P78" s="73">
        <f>P72-P71</f>
        <v>12098.725730000006</v>
      </c>
    </row>
  </sheetData>
  <mergeCells count="3">
    <mergeCell ref="A1:M1"/>
    <mergeCell ref="B2:K2"/>
    <mergeCell ref="O2:Z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7</vt:lpstr>
      <vt:lpstr>8</vt:lpstr>
      <vt:lpstr>9</vt:lpstr>
      <vt:lpstr>10</vt:lpstr>
      <vt:lpstr>11</vt:lpstr>
      <vt:lpstr>12</vt:lpstr>
      <vt:lpstr>Σύνολο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ΝΙΚΟΛΑΟΣ ΔΟΥΒΑΛΕΤΑΣ</dc:creator>
  <cp:lastModifiedBy>Χρήστος Καραλιώτας</cp:lastModifiedBy>
  <dcterms:created xsi:type="dcterms:W3CDTF">2024-09-30T10:22:34Z</dcterms:created>
  <dcterms:modified xsi:type="dcterms:W3CDTF">2025-05-29T06:22:58Z</dcterms:modified>
</cp:coreProperties>
</file>